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375" tabRatio="840"/>
  </bookViews>
  <sheets>
    <sheet name="読んでね！" sheetId="33" r:id="rId1"/>
    <sheet name="メインシート" sheetId="30" r:id="rId2"/>
    <sheet name="入力ﾌｫｰﾑ" sheetId="32" r:id="rId3"/>
    <sheet name="名簿ﾏｽﾀｰ" sheetId="31" r:id="rId4"/>
    <sheet name="参加料納付書（計算式）" sheetId="29" r:id="rId5"/>
    <sheet name="男子団体" sheetId="1" r:id="rId6"/>
    <sheet name="女子団体" sheetId="17" r:id="rId7"/>
    <sheet name="個人（男子） " sheetId="13" r:id="rId8"/>
    <sheet name="個人（女子）" sheetId="16" r:id="rId9"/>
    <sheet name="学校ﾏｽﾀｰ" sheetId="21" r:id="rId10"/>
  </sheets>
  <definedNames>
    <definedName name="_xlnm.Print_Area" localSheetId="8">'個人（女子）'!$C$1:$N$38</definedName>
    <definedName name="_xlnm.Print_Area" localSheetId="7">'個人（男子） '!$C$1:$N$38</definedName>
    <definedName name="_xlnm.Print_Area" localSheetId="4">'参加料納付書（計算式）'!$A$1:$O$45</definedName>
    <definedName name="_xlnm.Print_Area" localSheetId="6">女子団体!$C$1:$M$33</definedName>
    <definedName name="_xlnm.Print_Area" localSheetId="5">男子団体!$C$1:$M$39</definedName>
    <definedName name="_xlnm.Print_Area" localSheetId="0">'読んでね！'!$A$1:$Q$272</definedName>
    <definedName name="_xlnm.Print_Area" localSheetId="3">名簿ﾏｽﾀｰ!$A$2:$Z$57</definedName>
  </definedNames>
  <calcPr calcId="145621"/>
</workbook>
</file>

<file path=xl/calcChain.xml><?xml version="1.0" encoding="utf-8"?>
<calcChain xmlns="http://schemas.openxmlformats.org/spreadsheetml/2006/main">
  <c r="M33" i="16" l="1"/>
  <c r="M31" i="16"/>
  <c r="M29" i="16"/>
  <c r="M27" i="16"/>
  <c r="M25" i="16"/>
  <c r="M23" i="16"/>
  <c r="M21" i="16"/>
  <c r="M19" i="16"/>
  <c r="M33" i="13"/>
  <c r="M31" i="13"/>
  <c r="M29" i="13"/>
  <c r="M27" i="13"/>
  <c r="M25" i="13"/>
  <c r="M23" i="13"/>
  <c r="M21" i="13"/>
  <c r="M19" i="13"/>
  <c r="L33" i="16"/>
  <c r="K33" i="16"/>
  <c r="J33" i="16"/>
  <c r="H34" i="16"/>
  <c r="F34" i="16"/>
  <c r="H33" i="16"/>
  <c r="F33" i="16"/>
  <c r="D33" i="16"/>
  <c r="C33" i="16"/>
  <c r="L33" i="13"/>
  <c r="K33" i="13"/>
  <c r="J33" i="13"/>
  <c r="H34" i="13"/>
  <c r="F34" i="13"/>
  <c r="H33" i="13"/>
  <c r="F33" i="13"/>
  <c r="D33" i="13"/>
  <c r="L56" i="31" l="1"/>
  <c r="J56" i="31"/>
  <c r="H56" i="31"/>
  <c r="G56" i="31"/>
  <c r="K56" i="31" s="1"/>
  <c r="L55" i="31"/>
  <c r="J55" i="31"/>
  <c r="H55" i="31"/>
  <c r="G55" i="31"/>
  <c r="K55" i="31" s="1"/>
  <c r="L54" i="31"/>
  <c r="K54" i="31"/>
  <c r="J54" i="31"/>
  <c r="H54" i="31"/>
  <c r="G54" i="31"/>
  <c r="L53" i="31"/>
  <c r="J53" i="31"/>
  <c r="H53" i="31"/>
  <c r="G53" i="31"/>
  <c r="K53" i="31" s="1"/>
  <c r="L52" i="31"/>
  <c r="K52" i="31"/>
  <c r="J52" i="31"/>
  <c r="H52" i="31"/>
  <c r="G52" i="31"/>
  <c r="L51" i="31"/>
  <c r="J51" i="31"/>
  <c r="H51" i="31"/>
  <c r="G51" i="31"/>
  <c r="K51" i="31" s="1"/>
  <c r="L50" i="31"/>
  <c r="J50" i="31"/>
  <c r="H50" i="31"/>
  <c r="G50" i="31"/>
  <c r="K50" i="31" s="1"/>
  <c r="L49" i="31"/>
  <c r="K49" i="31"/>
  <c r="J49" i="31"/>
  <c r="H49" i="31"/>
  <c r="G49" i="31"/>
  <c r="L48" i="31"/>
  <c r="J48" i="31"/>
  <c r="H48" i="31"/>
  <c r="G48" i="31"/>
  <c r="K48" i="31" s="1"/>
  <c r="L47" i="31"/>
  <c r="J47" i="31"/>
  <c r="H47" i="31"/>
  <c r="G47" i="31"/>
  <c r="K47" i="31" s="1"/>
  <c r="L46" i="31" l="1"/>
  <c r="J46" i="31"/>
  <c r="H46" i="31"/>
  <c r="G46" i="31"/>
  <c r="K46" i="31" s="1"/>
  <c r="L45" i="31"/>
  <c r="K45" i="31"/>
  <c r="J45" i="31"/>
  <c r="H45" i="31"/>
  <c r="G45" i="31"/>
  <c r="L44" i="31"/>
  <c r="J44" i="31"/>
  <c r="H44" i="31"/>
  <c r="G44" i="31"/>
  <c r="K44" i="31" s="1"/>
  <c r="L43" i="31"/>
  <c r="J43" i="31"/>
  <c r="H43" i="31"/>
  <c r="K43" i="31" s="1"/>
  <c r="G43" i="31"/>
  <c r="L42" i="31"/>
  <c r="J42" i="31"/>
  <c r="H42" i="31"/>
  <c r="K42" i="31" s="1"/>
  <c r="G42" i="31"/>
  <c r="L41" i="31"/>
  <c r="J41" i="31"/>
  <c r="H41" i="31"/>
  <c r="G41" i="31"/>
  <c r="K41" i="31" s="1"/>
  <c r="L40" i="31"/>
  <c r="K40" i="31"/>
  <c r="J40" i="31"/>
  <c r="H40" i="31"/>
  <c r="G40" i="31"/>
  <c r="L39" i="31"/>
  <c r="J39" i="31"/>
  <c r="H39" i="31"/>
  <c r="G39" i="31"/>
  <c r="K39" i="31" s="1"/>
  <c r="L38" i="31"/>
  <c r="J38" i="31"/>
  <c r="H38" i="31"/>
  <c r="G38" i="31"/>
  <c r="K38" i="31" s="1"/>
  <c r="L37" i="31"/>
  <c r="K37" i="31"/>
  <c r="J37" i="31"/>
  <c r="H37" i="31"/>
  <c r="G37" i="31"/>
  <c r="L36" i="31"/>
  <c r="J36" i="31"/>
  <c r="H36" i="31"/>
  <c r="G36" i="31"/>
  <c r="K36" i="31" s="1"/>
  <c r="L35" i="31"/>
  <c r="K35" i="31"/>
  <c r="J35" i="31"/>
  <c r="H35" i="31"/>
  <c r="G35" i="31"/>
  <c r="L34" i="31"/>
  <c r="J34" i="31"/>
  <c r="H34" i="31"/>
  <c r="K34" i="31" s="1"/>
  <c r="G34" i="31"/>
  <c r="L33" i="31"/>
  <c r="J33" i="31"/>
  <c r="H33" i="31"/>
  <c r="G33" i="31"/>
  <c r="K33" i="31" s="1"/>
  <c r="L32" i="31"/>
  <c r="K32" i="31"/>
  <c r="J32" i="31"/>
  <c r="H32" i="31"/>
  <c r="G32" i="31"/>
  <c r="L31" i="31"/>
  <c r="J31" i="31"/>
  <c r="H31" i="31"/>
  <c r="G31" i="31"/>
  <c r="K31" i="31" s="1"/>
  <c r="L30" i="31"/>
  <c r="J30" i="31"/>
  <c r="H30" i="31"/>
  <c r="G30" i="31"/>
  <c r="K30" i="31" s="1"/>
  <c r="L29" i="31"/>
  <c r="K29" i="31"/>
  <c r="J29" i="31"/>
  <c r="H29" i="31"/>
  <c r="G29" i="31"/>
  <c r="L28" i="31"/>
  <c r="J28" i="31"/>
  <c r="H28" i="31"/>
  <c r="G28" i="31"/>
  <c r="K28" i="31" s="1"/>
  <c r="L27" i="31"/>
  <c r="K27" i="31"/>
  <c r="J27" i="31"/>
  <c r="H27" i="31"/>
  <c r="G27" i="31"/>
  <c r="L26" i="31"/>
  <c r="J26" i="31"/>
  <c r="H26" i="31"/>
  <c r="K26" i="31" s="1"/>
  <c r="G26" i="31"/>
  <c r="L25" i="31"/>
  <c r="J25" i="31"/>
  <c r="H25" i="31"/>
  <c r="G25" i="31"/>
  <c r="K25" i="31" s="1"/>
  <c r="L24" i="31"/>
  <c r="K24" i="31"/>
  <c r="J24" i="31"/>
  <c r="H24" i="31"/>
  <c r="G24" i="31"/>
  <c r="L23" i="31"/>
  <c r="J23" i="31"/>
  <c r="H23" i="31"/>
  <c r="G23" i="31"/>
  <c r="K23" i="31" s="1"/>
  <c r="L22" i="31"/>
  <c r="J22" i="31"/>
  <c r="H22" i="31"/>
  <c r="G22" i="31"/>
  <c r="K22" i="31" s="1"/>
  <c r="L21" i="31"/>
  <c r="K21" i="31"/>
  <c r="J21" i="31"/>
  <c r="H21" i="31"/>
  <c r="G21" i="31"/>
  <c r="Q26" i="29" l="1"/>
  <c r="Q22" i="29"/>
  <c r="R26" i="29"/>
  <c r="R22" i="29"/>
  <c r="B10" i="30" l="1"/>
  <c r="W204" i="21" l="1"/>
  <c r="W202" i="21"/>
  <c r="W201" i="21"/>
  <c r="W200" i="21"/>
  <c r="W199" i="21"/>
  <c r="W198" i="21"/>
  <c r="W197" i="21"/>
  <c r="W174" i="21"/>
  <c r="W196" i="21"/>
  <c r="W170" i="21"/>
  <c r="W189" i="21"/>
  <c r="W176" i="21"/>
  <c r="W184" i="21"/>
  <c r="W195" i="21"/>
  <c r="W159" i="21"/>
  <c r="W190" i="21"/>
  <c r="W186" i="21"/>
  <c r="W194" i="21"/>
  <c r="W168" i="21"/>
  <c r="W169" i="21"/>
  <c r="W181" i="21"/>
  <c r="W182" i="21"/>
  <c r="W166" i="21"/>
  <c r="W179" i="21"/>
  <c r="W162" i="21"/>
  <c r="W165" i="21"/>
  <c r="W161" i="21"/>
  <c r="W163" i="21"/>
  <c r="W164" i="21"/>
  <c r="W154" i="21"/>
  <c r="W155" i="21"/>
  <c r="J51" i="32" l="1"/>
  <c r="J50" i="32"/>
  <c r="J49" i="32"/>
  <c r="J48" i="32"/>
  <c r="J47" i="32"/>
  <c r="J46" i="32"/>
  <c r="J45" i="32"/>
  <c r="J44" i="32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4" i="32"/>
  <c r="J3" i="32"/>
  <c r="J2" i="32"/>
  <c r="W4" i="21"/>
  <c r="W54" i="21"/>
  <c r="W104" i="21"/>
  <c r="W160" i="21"/>
  <c r="W183" i="21"/>
  <c r="W178" i="21"/>
  <c r="W177" i="21"/>
  <c r="W187" i="21"/>
  <c r="W192" i="21"/>
  <c r="W173" i="21"/>
  <c r="W191" i="21"/>
  <c r="W175" i="21"/>
  <c r="W171" i="21"/>
  <c r="W185" i="21"/>
  <c r="W188" i="21"/>
  <c r="W172" i="21"/>
  <c r="W180" i="21"/>
  <c r="W157" i="21"/>
  <c r="W156" i="21"/>
  <c r="W193" i="21"/>
  <c r="W158" i="21"/>
  <c r="W167" i="21"/>
  <c r="W203" i="21"/>
  <c r="W254" i="21"/>
  <c r="W358" i="21"/>
  <c r="W359" i="21"/>
  <c r="W360" i="21"/>
  <c r="W361" i="21"/>
  <c r="W362" i="21"/>
  <c r="W363" i="21"/>
  <c r="C37" i="16" l="1"/>
  <c r="C36" i="16"/>
  <c r="C31" i="16"/>
  <c r="C29" i="16"/>
  <c r="C27" i="16"/>
  <c r="C25" i="16"/>
  <c r="C23" i="16"/>
  <c r="C19" i="16"/>
  <c r="C21" i="16"/>
  <c r="C37" i="13"/>
  <c r="C36" i="13"/>
  <c r="C33" i="13"/>
  <c r="C31" i="13"/>
  <c r="C29" i="13"/>
  <c r="C27" i="13"/>
  <c r="C25" i="13"/>
  <c r="C23" i="13"/>
  <c r="C21" i="13"/>
  <c r="C19" i="13"/>
  <c r="C1" i="16" l="1"/>
  <c r="C1" i="17"/>
  <c r="C1" i="1"/>
  <c r="C1" i="13" s="1"/>
  <c r="E7" i="16"/>
  <c r="J4" i="17"/>
  <c r="L27" i="17"/>
  <c r="L25" i="17"/>
  <c r="L23" i="17"/>
  <c r="L21" i="17"/>
  <c r="L19" i="17"/>
  <c r="G33" i="29"/>
  <c r="L33" i="29" s="1"/>
  <c r="F24" i="29"/>
  <c r="D24" i="29"/>
  <c r="F20" i="29"/>
  <c r="D20" i="29"/>
  <c r="F43" i="29"/>
  <c r="F44" i="29"/>
  <c r="F42" i="29"/>
  <c r="H39" i="29"/>
  <c r="J33" i="29"/>
  <c r="L17" i="29"/>
  <c r="B2" i="29"/>
  <c r="B255" i="21"/>
  <c r="B205" i="21"/>
  <c r="C204" i="21"/>
  <c r="B155" i="21"/>
  <c r="C155" i="21" s="1"/>
  <c r="C154" i="21"/>
  <c r="B5" i="21"/>
  <c r="C254" i="21"/>
  <c r="AA3" i="21"/>
  <c r="I10" i="17"/>
  <c r="H10" i="17"/>
  <c r="E7" i="17"/>
  <c r="C5" i="21" l="1"/>
  <c r="W5" i="21"/>
  <c r="C205" i="21"/>
  <c r="W205" i="21"/>
  <c r="B256" i="21"/>
  <c r="W255" i="21"/>
  <c r="B206" i="21"/>
  <c r="C206" i="21" s="1"/>
  <c r="B156" i="21"/>
  <c r="B157" i="21" s="1"/>
  <c r="C157" i="21" s="1"/>
  <c r="B158" i="21"/>
  <c r="B6" i="21"/>
  <c r="W6" i="21" s="1"/>
  <c r="B207" i="21" l="1"/>
  <c r="W206" i="21"/>
  <c r="B257" i="21"/>
  <c r="W256" i="21"/>
  <c r="C156" i="21"/>
  <c r="B159" i="21"/>
  <c r="C158" i="21"/>
  <c r="B7" i="21"/>
  <c r="W7" i="21" s="1"/>
  <c r="C6" i="21"/>
  <c r="W207" i="21" l="1"/>
  <c r="C207" i="21"/>
  <c r="B208" i="21"/>
  <c r="B258" i="21"/>
  <c r="W257" i="21"/>
  <c r="C159" i="21"/>
  <c r="B160" i="21"/>
  <c r="C7" i="21"/>
  <c r="B8" i="21"/>
  <c r="W8" i="21" s="1"/>
  <c r="B259" i="21" l="1"/>
  <c r="W258" i="21"/>
  <c r="W208" i="21"/>
  <c r="B209" i="21"/>
  <c r="C208" i="21"/>
  <c r="B161" i="21"/>
  <c r="C160" i="21"/>
  <c r="C8" i="21"/>
  <c r="B9" i="21"/>
  <c r="W9" i="21" s="1"/>
  <c r="W209" i="21" l="1"/>
  <c r="B210" i="21"/>
  <c r="C209" i="21"/>
  <c r="B260" i="21"/>
  <c r="W259" i="21"/>
  <c r="B162" i="21"/>
  <c r="C161" i="21"/>
  <c r="C9" i="21"/>
  <c r="B10" i="21"/>
  <c r="W10" i="21" s="1"/>
  <c r="B261" i="21" l="1"/>
  <c r="W260" i="21"/>
  <c r="W210" i="21"/>
  <c r="B211" i="21"/>
  <c r="C210" i="21"/>
  <c r="B163" i="21"/>
  <c r="C162" i="21"/>
  <c r="C10" i="21"/>
  <c r="B11" i="21"/>
  <c r="W11" i="21" s="1"/>
  <c r="W211" i="21" l="1"/>
  <c r="B212" i="21"/>
  <c r="C211" i="21"/>
  <c r="B262" i="21"/>
  <c r="W261" i="21"/>
  <c r="B164" i="21"/>
  <c r="C163" i="21"/>
  <c r="B12" i="21"/>
  <c r="W12" i="21" s="1"/>
  <c r="C11" i="21"/>
  <c r="W212" i="21" l="1"/>
  <c r="B213" i="21"/>
  <c r="C212" i="21"/>
  <c r="B263" i="21"/>
  <c r="W262" i="21"/>
  <c r="B165" i="21"/>
  <c r="C164" i="21"/>
  <c r="B13" i="21"/>
  <c r="W13" i="21" s="1"/>
  <c r="C12" i="21"/>
  <c r="W213" i="21" l="1"/>
  <c r="B214" i="21"/>
  <c r="C213" i="21"/>
  <c r="B264" i="21"/>
  <c r="W263" i="21"/>
  <c r="B166" i="21"/>
  <c r="C165" i="21"/>
  <c r="B14" i="21"/>
  <c r="W14" i="21" s="1"/>
  <c r="C13" i="21"/>
  <c r="B265" i="21" l="1"/>
  <c r="W264" i="21"/>
  <c r="W214" i="21"/>
  <c r="C214" i="21"/>
  <c r="B215" i="21"/>
  <c r="B167" i="21"/>
  <c r="C166" i="21"/>
  <c r="C14" i="21"/>
  <c r="B15" i="21"/>
  <c r="W15" i="21" s="1"/>
  <c r="W215" i="21" l="1"/>
  <c r="C215" i="21"/>
  <c r="B216" i="21"/>
  <c r="B266" i="21"/>
  <c r="W265" i="21"/>
  <c r="B168" i="21"/>
  <c r="C167" i="21"/>
  <c r="C15" i="21"/>
  <c r="B16" i="21"/>
  <c r="W16" i="21" s="1"/>
  <c r="B267" i="21" l="1"/>
  <c r="W266" i="21"/>
  <c r="W216" i="21"/>
  <c r="B217" i="21"/>
  <c r="C216" i="21"/>
  <c r="B169" i="21"/>
  <c r="C168" i="21"/>
  <c r="B17" i="21"/>
  <c r="W17" i="21" s="1"/>
  <c r="C16" i="21"/>
  <c r="W217" i="21" l="1"/>
  <c r="B218" i="21"/>
  <c r="C217" i="21"/>
  <c r="B268" i="21"/>
  <c r="W267" i="21"/>
  <c r="B170" i="21"/>
  <c r="C169" i="21"/>
  <c r="B18" i="21"/>
  <c r="W18" i="21" s="1"/>
  <c r="C17" i="21"/>
  <c r="B269" i="21" l="1"/>
  <c r="W268" i="21"/>
  <c r="W218" i="21"/>
  <c r="B219" i="21"/>
  <c r="C218" i="21"/>
  <c r="B171" i="21"/>
  <c r="C170" i="21"/>
  <c r="C18" i="21"/>
  <c r="B19" i="21"/>
  <c r="W19" i="21" s="1"/>
  <c r="W219" i="21" l="1"/>
  <c r="C219" i="21"/>
  <c r="B220" i="21"/>
  <c r="B270" i="21"/>
  <c r="W269" i="21"/>
  <c r="B172" i="21"/>
  <c r="C171" i="21"/>
  <c r="C19" i="21"/>
  <c r="B20" i="21"/>
  <c r="W20" i="21" s="1"/>
  <c r="B271" i="21" l="1"/>
  <c r="W270" i="21"/>
  <c r="W220" i="21"/>
  <c r="B221" i="21"/>
  <c r="C220" i="21"/>
  <c r="B173" i="21"/>
  <c r="C172" i="21"/>
  <c r="B21" i="21"/>
  <c r="W21" i="21" s="1"/>
  <c r="C20" i="21"/>
  <c r="W221" i="21" l="1"/>
  <c r="C221" i="21"/>
  <c r="B222" i="21"/>
  <c r="B272" i="21"/>
  <c r="W271" i="21"/>
  <c r="B174" i="21"/>
  <c r="C173" i="21"/>
  <c r="B22" i="21"/>
  <c r="W22" i="21" s="1"/>
  <c r="C21" i="21"/>
  <c r="E7" i="13"/>
  <c r="A4" i="13"/>
  <c r="A4" i="16"/>
  <c r="E4" i="16" s="1"/>
  <c r="A4" i="17"/>
  <c r="A4" i="1"/>
  <c r="E4" i="1" s="1"/>
  <c r="A2" i="16"/>
  <c r="A2" i="13"/>
  <c r="A2" i="17"/>
  <c r="B273" i="21" l="1"/>
  <c r="W272" i="21"/>
  <c r="W222" i="21"/>
  <c r="C222" i="21"/>
  <c r="B223" i="21"/>
  <c r="E4" i="13"/>
  <c r="E4" i="17"/>
  <c r="B175" i="21"/>
  <c r="C174" i="21"/>
  <c r="C22" i="21"/>
  <c r="B23" i="21"/>
  <c r="W23" i="21" s="1"/>
  <c r="E7" i="1"/>
  <c r="A2" i="1"/>
  <c r="B1" i="32"/>
  <c r="P3" i="32"/>
  <c r="P4" i="32" s="1"/>
  <c r="P5" i="32" s="1"/>
  <c r="P6" i="32" s="1"/>
  <c r="P7" i="32" s="1"/>
  <c r="P8" i="32" s="1"/>
  <c r="P9" i="32" s="1"/>
  <c r="P10" i="32" s="1"/>
  <c r="R3" i="32"/>
  <c r="R4" i="32" s="1"/>
  <c r="R5" i="32" s="1"/>
  <c r="R6" i="32" s="1"/>
  <c r="R7" i="32" s="1"/>
  <c r="R8" i="32" s="1"/>
  <c r="R9" i="32" s="1"/>
  <c r="R10" i="32" s="1"/>
  <c r="Y3" i="32"/>
  <c r="Z3" i="32"/>
  <c r="AA3" i="32"/>
  <c r="AB3" i="32"/>
  <c r="AC3" i="32"/>
  <c r="AD3" i="32"/>
  <c r="AE3" i="32"/>
  <c r="C4" i="32"/>
  <c r="D11" i="32" s="1"/>
  <c r="E4" i="32"/>
  <c r="O4" i="32"/>
  <c r="O5" i="32" s="1"/>
  <c r="O6" i="32" s="1"/>
  <c r="O7" i="32" s="1"/>
  <c r="O8" i="32" s="1"/>
  <c r="O9" i="32" s="1"/>
  <c r="O10" i="32" s="1"/>
  <c r="Q4" i="32"/>
  <c r="Q5" i="32" s="1"/>
  <c r="Q6" i="32" s="1"/>
  <c r="Q7" i="32" s="1"/>
  <c r="Q8" i="32" s="1"/>
  <c r="Q9" i="32" s="1"/>
  <c r="Q10" i="32" s="1"/>
  <c r="Y4" i="32"/>
  <c r="Z4" i="32"/>
  <c r="AA4" i="32"/>
  <c r="AB4" i="32"/>
  <c r="AC4" i="32"/>
  <c r="AD4" i="32"/>
  <c r="AE4" i="32"/>
  <c r="C5" i="32"/>
  <c r="E5" i="32"/>
  <c r="Y5" i="32"/>
  <c r="Z5" i="32"/>
  <c r="AA5" i="32"/>
  <c r="AB5" i="32"/>
  <c r="AC5" i="32"/>
  <c r="AD5" i="32"/>
  <c r="AE5" i="32"/>
  <c r="C6" i="32"/>
  <c r="E6" i="32"/>
  <c r="Y6" i="32"/>
  <c r="Z6" i="32"/>
  <c r="AA6" i="32"/>
  <c r="AB6" i="32"/>
  <c r="AC6" i="32"/>
  <c r="AD6" i="32"/>
  <c r="AE6" i="32"/>
  <c r="C7" i="32"/>
  <c r="E7" i="32"/>
  <c r="Y7" i="32"/>
  <c r="Z7" i="32"/>
  <c r="AA7" i="32"/>
  <c r="AB7" i="32"/>
  <c r="AC7" i="32"/>
  <c r="AD7" i="32"/>
  <c r="AE7" i="32"/>
  <c r="Y8" i="32"/>
  <c r="Z8" i="32"/>
  <c r="AA8" i="32"/>
  <c r="AB8" i="32"/>
  <c r="AC8" i="32"/>
  <c r="AD8" i="32"/>
  <c r="AE8" i="32"/>
  <c r="Y9" i="32"/>
  <c r="Z9" i="32"/>
  <c r="AA9" i="32"/>
  <c r="AB9" i="32"/>
  <c r="AC9" i="32"/>
  <c r="AD9" i="32"/>
  <c r="AE9" i="32"/>
  <c r="Y10" i="32"/>
  <c r="Z10" i="32"/>
  <c r="AA10" i="32"/>
  <c r="AB10" i="32"/>
  <c r="AC10" i="32"/>
  <c r="AD10" i="32"/>
  <c r="AE10" i="32"/>
  <c r="E11" i="32"/>
  <c r="F11" i="32"/>
  <c r="P13" i="32"/>
  <c r="P14" i="32" s="1"/>
  <c r="P15" i="32" s="1"/>
  <c r="P16" i="32" s="1"/>
  <c r="P17" i="32" s="1"/>
  <c r="R13" i="32"/>
  <c r="R14" i="32" s="1"/>
  <c r="R15" i="32" s="1"/>
  <c r="R16" i="32" s="1"/>
  <c r="R17" i="32" s="1"/>
  <c r="Y13" i="32"/>
  <c r="Z13" i="32"/>
  <c r="AA13" i="32"/>
  <c r="AB13" i="32"/>
  <c r="AC13" i="32"/>
  <c r="I19" i="17" s="1"/>
  <c r="AD13" i="32"/>
  <c r="J19" i="17" s="1"/>
  <c r="AE13" i="32"/>
  <c r="O14" i="32"/>
  <c r="O15" i="32" s="1"/>
  <c r="O16" i="32" s="1"/>
  <c r="O17" i="32" s="1"/>
  <c r="Q14" i="32"/>
  <c r="Q15" i="32" s="1"/>
  <c r="Q16" i="32" s="1"/>
  <c r="Q17" i="32" s="1"/>
  <c r="Y14" i="32"/>
  <c r="Z14" i="32"/>
  <c r="AA14" i="32"/>
  <c r="AB14" i="32"/>
  <c r="AC14" i="32"/>
  <c r="I21" i="17" s="1"/>
  <c r="AD14" i="32"/>
  <c r="J21" i="17" s="1"/>
  <c r="AE14" i="32"/>
  <c r="Y15" i="32"/>
  <c r="Z15" i="32"/>
  <c r="AA15" i="32"/>
  <c r="AB15" i="32"/>
  <c r="AC15" i="32"/>
  <c r="I23" i="17" s="1"/>
  <c r="AD15" i="32"/>
  <c r="J23" i="17" s="1"/>
  <c r="AE15" i="32"/>
  <c r="E16" i="32"/>
  <c r="F16" i="32"/>
  <c r="Y16" i="32"/>
  <c r="Z16" i="32"/>
  <c r="AA16" i="32"/>
  <c r="AB16" i="32"/>
  <c r="AC16" i="32"/>
  <c r="I25" i="17" s="1"/>
  <c r="AD16" i="32"/>
  <c r="J25" i="17" s="1"/>
  <c r="AE16" i="32"/>
  <c r="Y17" i="32"/>
  <c r="Z17" i="32"/>
  <c r="AA17" i="32"/>
  <c r="AB17" i="32"/>
  <c r="AC17" i="32"/>
  <c r="I27" i="17" s="1"/>
  <c r="AD17" i="32"/>
  <c r="J27" i="17" s="1"/>
  <c r="AE17" i="32"/>
  <c r="P20" i="32"/>
  <c r="Q20" i="32"/>
  <c r="R20" i="32"/>
  <c r="Y20" i="32"/>
  <c r="Z20" i="32"/>
  <c r="AA20" i="32"/>
  <c r="AB20" i="32"/>
  <c r="AC20" i="32"/>
  <c r="AD20" i="32"/>
  <c r="AE20" i="32"/>
  <c r="E21" i="32"/>
  <c r="F21" i="32"/>
  <c r="O21" i="32"/>
  <c r="Q21" i="32"/>
  <c r="R21" i="32"/>
  <c r="Y21" i="32"/>
  <c r="Z21" i="32"/>
  <c r="AA21" i="32"/>
  <c r="AB21" i="32"/>
  <c r="AC21" i="32"/>
  <c r="AD21" i="32"/>
  <c r="AE21" i="32"/>
  <c r="O22" i="32"/>
  <c r="Q22" i="32"/>
  <c r="R22" i="32"/>
  <c r="Y22" i="32"/>
  <c r="Z22" i="32"/>
  <c r="AA22" i="32"/>
  <c r="AB22" i="32"/>
  <c r="AC22" i="32"/>
  <c r="AD22" i="32"/>
  <c r="AE22" i="32"/>
  <c r="Q23" i="32"/>
  <c r="R23" i="32"/>
  <c r="Y23" i="32"/>
  <c r="Z23" i="32"/>
  <c r="AA23" i="32"/>
  <c r="AB23" i="32"/>
  <c r="AC23" i="32"/>
  <c r="AD23" i="32"/>
  <c r="AE23" i="32"/>
  <c r="Q24" i="32"/>
  <c r="R24" i="32"/>
  <c r="Y24" i="32"/>
  <c r="Z24" i="32"/>
  <c r="AA24" i="32"/>
  <c r="AB24" i="32"/>
  <c r="AC24" i="32"/>
  <c r="AD24" i="32"/>
  <c r="AE24" i="32"/>
  <c r="Q25" i="32"/>
  <c r="R25" i="32"/>
  <c r="Y25" i="32"/>
  <c r="Z25" i="32"/>
  <c r="AA25" i="32"/>
  <c r="AB25" i="32"/>
  <c r="AC25" i="32"/>
  <c r="AD25" i="32"/>
  <c r="AE25" i="32"/>
  <c r="E26" i="32"/>
  <c r="F26" i="32"/>
  <c r="Q26" i="32"/>
  <c r="R26" i="32"/>
  <c r="Y26" i="32"/>
  <c r="Z26" i="32"/>
  <c r="AA26" i="32"/>
  <c r="AB26" i="32"/>
  <c r="AC26" i="32"/>
  <c r="AD26" i="32"/>
  <c r="AE26" i="32"/>
  <c r="Q27" i="32"/>
  <c r="R27" i="32"/>
  <c r="Y27" i="32"/>
  <c r="Z27" i="32"/>
  <c r="AA27" i="32"/>
  <c r="AB27" i="32"/>
  <c r="AC27" i="32"/>
  <c r="AD27" i="32"/>
  <c r="AE27" i="32"/>
  <c r="Q28" i="32"/>
  <c r="R28" i="32"/>
  <c r="Q29" i="32"/>
  <c r="R29" i="32"/>
  <c r="P32" i="32"/>
  <c r="P33" i="32" s="1"/>
  <c r="P34" i="32" s="1"/>
  <c r="P35" i="32" s="1"/>
  <c r="P36" i="32" s="1"/>
  <c r="P37" i="32" s="1"/>
  <c r="P38" i="32" s="1"/>
  <c r="P39" i="32" s="1"/>
  <c r="P40" i="32" s="1"/>
  <c r="P41" i="32" s="1"/>
  <c r="Q32" i="32"/>
  <c r="R32" i="32"/>
  <c r="Y30" i="32"/>
  <c r="Z30" i="32"/>
  <c r="AA30" i="32"/>
  <c r="AB30" i="32"/>
  <c r="AC30" i="32"/>
  <c r="AD30" i="32"/>
  <c r="AE30" i="32"/>
  <c r="O33" i="32"/>
  <c r="O34" i="32" s="1"/>
  <c r="O35" i="32" s="1"/>
  <c r="O36" i="32" s="1"/>
  <c r="O37" i="32" s="1"/>
  <c r="O38" i="32" s="1"/>
  <c r="O39" i="32" s="1"/>
  <c r="O40" i="32" s="1"/>
  <c r="O41" i="32" s="1"/>
  <c r="Q33" i="32"/>
  <c r="R33" i="32"/>
  <c r="Y31" i="32"/>
  <c r="Z31" i="32"/>
  <c r="AA31" i="32"/>
  <c r="AB31" i="32"/>
  <c r="AC31" i="32"/>
  <c r="AD31" i="32"/>
  <c r="AE31" i="32"/>
  <c r="Q34" i="32"/>
  <c r="R34" i="32"/>
  <c r="Y32" i="32"/>
  <c r="Z32" i="32"/>
  <c r="AA32" i="32"/>
  <c r="AB32" i="32"/>
  <c r="AC32" i="32"/>
  <c r="AD32" i="32"/>
  <c r="AE32" i="32"/>
  <c r="Q35" i="32"/>
  <c r="R35" i="32"/>
  <c r="Y33" i="32"/>
  <c r="Z33" i="32"/>
  <c r="AA33" i="32"/>
  <c r="AB33" i="32"/>
  <c r="AC33" i="32"/>
  <c r="AD33" i="32"/>
  <c r="AE33" i="32"/>
  <c r="Q36" i="32"/>
  <c r="R36" i="32"/>
  <c r="Y34" i="32"/>
  <c r="Z34" i="32"/>
  <c r="AA34" i="32"/>
  <c r="AB34" i="32"/>
  <c r="AC34" i="32"/>
  <c r="AD34" i="32"/>
  <c r="AE34" i="32"/>
  <c r="Q37" i="32"/>
  <c r="R37" i="32"/>
  <c r="Y35" i="32"/>
  <c r="Z35" i="32"/>
  <c r="AA35" i="32"/>
  <c r="AB35" i="32"/>
  <c r="AC35" i="32"/>
  <c r="AD35" i="32"/>
  <c r="AE35" i="32"/>
  <c r="Q38" i="32"/>
  <c r="R38" i="32"/>
  <c r="Y36" i="32"/>
  <c r="Z36" i="32"/>
  <c r="AA36" i="32"/>
  <c r="AB36" i="32"/>
  <c r="AC36" i="32"/>
  <c r="AD36" i="32"/>
  <c r="AE36" i="32"/>
  <c r="Q39" i="32"/>
  <c r="R39" i="32"/>
  <c r="Y37" i="32"/>
  <c r="Z37" i="32"/>
  <c r="AA37" i="32"/>
  <c r="AB37" i="32"/>
  <c r="AC37" i="32"/>
  <c r="AD37" i="32"/>
  <c r="AE37" i="32"/>
  <c r="Q40" i="32"/>
  <c r="R40" i="32"/>
  <c r="Q41" i="32"/>
  <c r="R41" i="32"/>
  <c r="W223" i="21" l="1"/>
  <c r="C223" i="21"/>
  <c r="B224" i="21"/>
  <c r="B274" i="21"/>
  <c r="W273" i="21"/>
  <c r="D12" i="32"/>
  <c r="S39" i="32"/>
  <c r="W37" i="32" s="1"/>
  <c r="S34" i="32"/>
  <c r="W32" i="32" s="1"/>
  <c r="S41" i="32"/>
  <c r="S40" i="32"/>
  <c r="S38" i="32"/>
  <c r="W36" i="32" s="1"/>
  <c r="S36" i="32"/>
  <c r="W34" i="32" s="1"/>
  <c r="S37" i="32"/>
  <c r="W35" i="32" s="1"/>
  <c r="S35" i="32"/>
  <c r="W33" i="32" s="1"/>
  <c r="D27" i="32"/>
  <c r="D17" i="32"/>
  <c r="D16" i="32"/>
  <c r="D22" i="32"/>
  <c r="P21" i="32"/>
  <c r="P22" i="32" s="1"/>
  <c r="P23" i="32" s="1"/>
  <c r="P24" i="32" s="1"/>
  <c r="P25" i="32" s="1"/>
  <c r="P26" i="32" s="1"/>
  <c r="P27" i="32" s="1"/>
  <c r="P28" i="32" s="1"/>
  <c r="P29" i="32" s="1"/>
  <c r="S29" i="32" s="1"/>
  <c r="A22" i="32"/>
  <c r="A14" i="13" s="1"/>
  <c r="A21" i="32"/>
  <c r="D26" i="32"/>
  <c r="S32" i="32"/>
  <c r="W30" i="32" s="1"/>
  <c r="A27" i="32"/>
  <c r="A14" i="16" s="1"/>
  <c r="A26" i="32"/>
  <c r="C175" i="21"/>
  <c r="B176" i="21"/>
  <c r="C23" i="21"/>
  <c r="B24" i="21"/>
  <c r="W24" i="21" s="1"/>
  <c r="D21" i="32"/>
  <c r="S33" i="32"/>
  <c r="W31" i="32" s="1"/>
  <c r="S20" i="32"/>
  <c r="W20" i="32" s="1"/>
  <c r="S13" i="32"/>
  <c r="S3" i="32"/>
  <c r="O23" i="32"/>
  <c r="O24" i="32" s="1"/>
  <c r="O25" i="32" s="1"/>
  <c r="O26" i="32" s="1"/>
  <c r="O27" i="32" s="1"/>
  <c r="O28" i="32" s="1"/>
  <c r="O29" i="32" s="1"/>
  <c r="B275" i="21" l="1"/>
  <c r="W274" i="21"/>
  <c r="W224" i="21"/>
  <c r="C224" i="21"/>
  <c r="B225" i="21"/>
  <c r="S26" i="32"/>
  <c r="W26" i="32" s="1"/>
  <c r="S28" i="32"/>
  <c r="S23" i="32"/>
  <c r="W23" i="32" s="1"/>
  <c r="S24" i="32"/>
  <c r="W24" i="32" s="1"/>
  <c r="S27" i="32"/>
  <c r="W27" i="32" s="1"/>
  <c r="S25" i="32"/>
  <c r="W25" i="32" s="1"/>
  <c r="S22" i="32"/>
  <c r="W22" i="32" s="1"/>
  <c r="S21" i="32"/>
  <c r="W21" i="32" s="1"/>
  <c r="A12" i="32"/>
  <c r="A14" i="1" s="1"/>
  <c r="A11" i="32"/>
  <c r="A12" i="13"/>
  <c r="A11" i="13"/>
  <c r="A17" i="32"/>
  <c r="A14" i="17" s="1"/>
  <c r="A16" i="32"/>
  <c r="A11" i="16"/>
  <c r="A12" i="16"/>
  <c r="B177" i="21"/>
  <c r="C176" i="21"/>
  <c r="B25" i="21"/>
  <c r="W25" i="21" s="1"/>
  <c r="C24" i="21"/>
  <c r="S4" i="32"/>
  <c r="W3" i="32"/>
  <c r="W13" i="32"/>
  <c r="S14" i="32"/>
  <c r="W225" i="21" l="1"/>
  <c r="B226" i="21"/>
  <c r="C225" i="21"/>
  <c r="B276" i="21"/>
  <c r="W275" i="21"/>
  <c r="F14" i="13"/>
  <c r="F13" i="13" s="1"/>
  <c r="F14" i="1"/>
  <c r="F12" i="13"/>
  <c r="J12" i="13"/>
  <c r="F14" i="16"/>
  <c r="J12" i="16"/>
  <c r="F12" i="16"/>
  <c r="F11" i="16"/>
  <c r="A12" i="17"/>
  <c r="A11" i="17"/>
  <c r="F11" i="17" s="1"/>
  <c r="F14" i="17"/>
  <c r="F11" i="13"/>
  <c r="A12" i="1"/>
  <c r="A11" i="1"/>
  <c r="F11" i="1" s="1"/>
  <c r="B178" i="21"/>
  <c r="C177" i="21"/>
  <c r="B26" i="21"/>
  <c r="W26" i="21" s="1"/>
  <c r="C25" i="21"/>
  <c r="S15" i="32"/>
  <c r="W14" i="32"/>
  <c r="W4" i="32"/>
  <c r="S5" i="32"/>
  <c r="B277" i="21" l="1"/>
  <c r="W276" i="21"/>
  <c r="W226" i="21"/>
  <c r="B227" i="21"/>
  <c r="C226" i="21"/>
  <c r="L13" i="13"/>
  <c r="J12" i="1"/>
  <c r="F12" i="1"/>
  <c r="F13" i="16"/>
  <c r="K13" i="17"/>
  <c r="F13" i="17"/>
  <c r="F10" i="16"/>
  <c r="F10" i="17"/>
  <c r="F12" i="17"/>
  <c r="J12" i="17"/>
  <c r="B179" i="21"/>
  <c r="C178" i="21"/>
  <c r="C26" i="21"/>
  <c r="B27" i="21"/>
  <c r="W27" i="21" s="1"/>
  <c r="W5" i="32"/>
  <c r="S6" i="32"/>
  <c r="W15" i="32"/>
  <c r="S16" i="32"/>
  <c r="W227" i="21" l="1"/>
  <c r="B228" i="21"/>
  <c r="C227" i="21"/>
  <c r="B278" i="21"/>
  <c r="W277" i="21"/>
  <c r="S17" i="32"/>
  <c r="W17" i="32" s="1"/>
  <c r="W16" i="32"/>
  <c r="B180" i="21"/>
  <c r="C179" i="21"/>
  <c r="C27" i="21"/>
  <c r="B28" i="21"/>
  <c r="W28" i="21" s="1"/>
  <c r="W6" i="32"/>
  <c r="S7" i="32"/>
  <c r="W228" i="21" l="1"/>
  <c r="C228" i="21"/>
  <c r="B229" i="21"/>
  <c r="B279" i="21"/>
  <c r="W278" i="21"/>
  <c r="B181" i="21"/>
  <c r="C180" i="21"/>
  <c r="B29" i="21"/>
  <c r="W29" i="21" s="1"/>
  <c r="C28" i="21"/>
  <c r="S8" i="32"/>
  <c r="W7" i="32"/>
  <c r="B280" i="21" l="1"/>
  <c r="W279" i="21"/>
  <c r="W229" i="21"/>
  <c r="B230" i="21"/>
  <c r="C229" i="21"/>
  <c r="B182" i="21"/>
  <c r="C181" i="21"/>
  <c r="B30" i="21"/>
  <c r="W30" i="21" s="1"/>
  <c r="C29" i="21"/>
  <c r="S9" i="32"/>
  <c r="W8" i="32"/>
  <c r="W230" i="21" l="1"/>
  <c r="B231" i="21"/>
  <c r="C230" i="21"/>
  <c r="B281" i="21"/>
  <c r="W280" i="21"/>
  <c r="B183" i="21"/>
  <c r="C182" i="21"/>
  <c r="C30" i="21"/>
  <c r="B31" i="21"/>
  <c r="W31" i="21" s="1"/>
  <c r="S10" i="32"/>
  <c r="W10" i="32" s="1"/>
  <c r="W9" i="32"/>
  <c r="B282" i="21" l="1"/>
  <c r="W281" i="21"/>
  <c r="W231" i="21"/>
  <c r="B232" i="21"/>
  <c r="C231" i="21"/>
  <c r="B184" i="21"/>
  <c r="C183" i="21"/>
  <c r="C31" i="21"/>
  <c r="B32" i="21"/>
  <c r="W32" i="21" s="1"/>
  <c r="C3" i="30"/>
  <c r="Q3" i="21"/>
  <c r="O3" i="21"/>
  <c r="N3" i="21"/>
  <c r="L3" i="21"/>
  <c r="R3" i="21"/>
  <c r="K3" i="21"/>
  <c r="I3" i="21"/>
  <c r="C3" i="21"/>
  <c r="D3" i="21" s="1"/>
  <c r="Z3" i="21" s="1"/>
  <c r="B3" i="21"/>
  <c r="W3" i="21" s="1"/>
  <c r="C255" i="21"/>
  <c r="X255" i="21" s="1"/>
  <c r="C256" i="21"/>
  <c r="X256" i="21" s="1"/>
  <c r="C257" i="21"/>
  <c r="X257" i="21" s="1"/>
  <c r="C258" i="21"/>
  <c r="X258" i="21" s="1"/>
  <c r="C259" i="21"/>
  <c r="X259" i="21" s="1"/>
  <c r="C260" i="21"/>
  <c r="X260" i="21" s="1"/>
  <c r="C261" i="21"/>
  <c r="X261" i="21" s="1"/>
  <c r="C262" i="21"/>
  <c r="X262" i="21" s="1"/>
  <c r="C263" i="21"/>
  <c r="X263" i="21" s="1"/>
  <c r="C264" i="21"/>
  <c r="X264" i="21" s="1"/>
  <c r="C265" i="21"/>
  <c r="X265" i="21" s="1"/>
  <c r="C266" i="21"/>
  <c r="X266" i="21" s="1"/>
  <c r="C267" i="21"/>
  <c r="X267" i="21" s="1"/>
  <c r="C268" i="21"/>
  <c r="C269" i="21"/>
  <c r="C270" i="21"/>
  <c r="C271" i="21"/>
  <c r="X271" i="21" s="1"/>
  <c r="C272" i="21"/>
  <c r="X272" i="21" s="1"/>
  <c r="C273" i="21"/>
  <c r="X273" i="21" s="1"/>
  <c r="C274" i="21"/>
  <c r="X274" i="21" s="1"/>
  <c r="C275" i="21"/>
  <c r="X275" i="21" s="1"/>
  <c r="C276" i="21"/>
  <c r="X276" i="21" s="1"/>
  <c r="C277" i="21"/>
  <c r="C278" i="21"/>
  <c r="X278" i="21" s="1"/>
  <c r="C279" i="21"/>
  <c r="X279" i="21" s="1"/>
  <c r="C280" i="21"/>
  <c r="X280" i="21" s="1"/>
  <c r="C281" i="21"/>
  <c r="X281" i="21" s="1"/>
  <c r="C282" i="21"/>
  <c r="X282" i="21" s="1"/>
  <c r="C358" i="21"/>
  <c r="X358" i="21" s="1"/>
  <c r="C359" i="21"/>
  <c r="X359" i="21" s="1"/>
  <c r="C360" i="21"/>
  <c r="X360" i="21" s="1"/>
  <c r="C361" i="21"/>
  <c r="X361" i="21" s="1"/>
  <c r="C362" i="21"/>
  <c r="X362" i="21" s="1"/>
  <c r="C363" i="21"/>
  <c r="X363" i="21" s="1"/>
  <c r="C4" i="21"/>
  <c r="X268" i="21"/>
  <c r="X269" i="21"/>
  <c r="X270" i="21"/>
  <c r="X277" i="21"/>
  <c r="W232" i="21" l="1"/>
  <c r="C232" i="21"/>
  <c r="B233" i="21"/>
  <c r="B283" i="21"/>
  <c r="W282" i="21"/>
  <c r="B185" i="21"/>
  <c r="C184" i="21"/>
  <c r="B33" i="21"/>
  <c r="W33" i="21" s="1"/>
  <c r="C32" i="21"/>
  <c r="X3" i="21"/>
  <c r="V3" i="21"/>
  <c r="E3" i="21"/>
  <c r="S3" i="21"/>
  <c r="T3" i="21"/>
  <c r="F3" i="21"/>
  <c r="U3" i="21"/>
  <c r="G3" i="21"/>
  <c r="H3" i="21"/>
  <c r="B284" i="21" l="1"/>
  <c r="W283" i="21"/>
  <c r="C283" i="21"/>
  <c r="X283" i="21" s="1"/>
  <c r="W233" i="21"/>
  <c r="C233" i="21"/>
  <c r="B234" i="21"/>
  <c r="B186" i="21"/>
  <c r="C185" i="21"/>
  <c r="C33" i="21"/>
  <c r="B34" i="21"/>
  <c r="W34" i="21" s="1"/>
  <c r="P57" i="31"/>
  <c r="N57" i="31"/>
  <c r="U56" i="31"/>
  <c r="R56" i="31" s="1"/>
  <c r="U55" i="31"/>
  <c r="R55" i="31" s="1"/>
  <c r="U54" i="31"/>
  <c r="R54" i="31" s="1"/>
  <c r="U53" i="31"/>
  <c r="R53" i="31" s="1"/>
  <c r="U52" i="31"/>
  <c r="R52" i="31" s="1"/>
  <c r="U51" i="31"/>
  <c r="R51" i="31" s="1"/>
  <c r="U50" i="31"/>
  <c r="R50" i="31" s="1"/>
  <c r="U49" i="31"/>
  <c r="R49" i="31" s="1"/>
  <c r="U48" i="31"/>
  <c r="R48" i="31" s="1"/>
  <c r="U47" i="31"/>
  <c r="R47" i="31" s="1"/>
  <c r="U46" i="31"/>
  <c r="R46" i="31" s="1"/>
  <c r="U45" i="31"/>
  <c r="R45" i="31" s="1"/>
  <c r="U44" i="31"/>
  <c r="R44" i="31" s="1"/>
  <c r="U43" i="31"/>
  <c r="R43" i="31" s="1"/>
  <c r="U42" i="31"/>
  <c r="R42" i="31" s="1"/>
  <c r="U41" i="31"/>
  <c r="R41" i="31" s="1"/>
  <c r="U40" i="31"/>
  <c r="R40" i="31" s="1"/>
  <c r="U39" i="31"/>
  <c r="R39" i="31" s="1"/>
  <c r="U38" i="31"/>
  <c r="R38" i="31" s="1"/>
  <c r="U37" i="31"/>
  <c r="R37" i="31" s="1"/>
  <c r="U36" i="31"/>
  <c r="R36" i="31" s="1"/>
  <c r="U35" i="31"/>
  <c r="R35" i="31" s="1"/>
  <c r="U34" i="31"/>
  <c r="R34" i="31" s="1"/>
  <c r="U33" i="31"/>
  <c r="R33" i="31" s="1"/>
  <c r="U32" i="31"/>
  <c r="R32" i="31" s="1"/>
  <c r="U31" i="31"/>
  <c r="R31" i="31" s="1"/>
  <c r="U30" i="31"/>
  <c r="R30" i="31" s="1"/>
  <c r="U29" i="31"/>
  <c r="R29" i="31" s="1"/>
  <c r="U28" i="31"/>
  <c r="R28" i="31" s="1"/>
  <c r="U27" i="31"/>
  <c r="R27" i="31" s="1"/>
  <c r="U26" i="31"/>
  <c r="R26" i="31" s="1"/>
  <c r="U25" i="31"/>
  <c r="R25" i="31" s="1"/>
  <c r="U24" i="31"/>
  <c r="R24" i="31" s="1"/>
  <c r="U23" i="31"/>
  <c r="R23" i="31" s="1"/>
  <c r="U22" i="31"/>
  <c r="R22" i="31" s="1"/>
  <c r="U21" i="31"/>
  <c r="R21" i="31" s="1"/>
  <c r="U20" i="31"/>
  <c r="R20" i="31" s="1"/>
  <c r="L20" i="31"/>
  <c r="J20" i="31"/>
  <c r="H20" i="31"/>
  <c r="G20" i="31"/>
  <c r="U19" i="31"/>
  <c r="R19" i="31" s="1"/>
  <c r="L19" i="31"/>
  <c r="J19" i="31"/>
  <c r="H19" i="31"/>
  <c r="G19" i="31"/>
  <c r="K19" i="31" s="1"/>
  <c r="U18" i="31"/>
  <c r="R18" i="31" s="1"/>
  <c r="L18" i="31"/>
  <c r="J18" i="31"/>
  <c r="H18" i="31"/>
  <c r="G18" i="31"/>
  <c r="U17" i="31"/>
  <c r="R17" i="31" s="1"/>
  <c r="L17" i="31"/>
  <c r="J17" i="31"/>
  <c r="H17" i="31"/>
  <c r="G17" i="31"/>
  <c r="U16" i="31"/>
  <c r="R16" i="31" s="1"/>
  <c r="L16" i="31"/>
  <c r="J16" i="31"/>
  <c r="H16" i="31"/>
  <c r="G16" i="31"/>
  <c r="U15" i="31"/>
  <c r="R15" i="31" s="1"/>
  <c r="L15" i="31"/>
  <c r="J15" i="31"/>
  <c r="H15" i="31"/>
  <c r="G15" i="31"/>
  <c r="U14" i="31"/>
  <c r="R14" i="31" s="1"/>
  <c r="L14" i="31"/>
  <c r="J14" i="31"/>
  <c r="H14" i="31"/>
  <c r="G14" i="31"/>
  <c r="U13" i="31"/>
  <c r="R13" i="31" s="1"/>
  <c r="L13" i="31"/>
  <c r="J13" i="31"/>
  <c r="H13" i="31"/>
  <c r="G13" i="31"/>
  <c r="U12" i="31"/>
  <c r="R12" i="31" s="1"/>
  <c r="L12" i="31"/>
  <c r="J12" i="31"/>
  <c r="H12" i="31"/>
  <c r="G12" i="31"/>
  <c r="U11" i="31"/>
  <c r="R11" i="31" s="1"/>
  <c r="L11" i="31"/>
  <c r="J11" i="31"/>
  <c r="H11" i="31"/>
  <c r="G11" i="31"/>
  <c r="K11" i="31" s="1"/>
  <c r="U10" i="31"/>
  <c r="R10" i="31" s="1"/>
  <c r="L10" i="31"/>
  <c r="J10" i="31"/>
  <c r="H10" i="31"/>
  <c r="G10" i="31"/>
  <c r="U9" i="31"/>
  <c r="R9" i="31" s="1"/>
  <c r="L9" i="31"/>
  <c r="J9" i="31"/>
  <c r="H9" i="31"/>
  <c r="G9" i="31"/>
  <c r="U8" i="31"/>
  <c r="R8" i="31" s="1"/>
  <c r="L8" i="31"/>
  <c r="J8" i="31"/>
  <c r="H8" i="31"/>
  <c r="G8" i="31"/>
  <c r="U7" i="31"/>
  <c r="R7" i="31" s="1"/>
  <c r="L7" i="31"/>
  <c r="J7" i="31"/>
  <c r="H7" i="31"/>
  <c r="G7" i="31"/>
  <c r="U6" i="31"/>
  <c r="R6" i="31" s="1"/>
  <c r="L6" i="31"/>
  <c r="H6" i="31"/>
  <c r="G6" i="31"/>
  <c r="K6" i="31" s="1"/>
  <c r="U5" i="31"/>
  <c r="J4" i="31"/>
  <c r="S33" i="31" s="1"/>
  <c r="T33" i="31" s="1"/>
  <c r="P19" i="30"/>
  <c r="K19" i="30"/>
  <c r="D7" i="32" s="1"/>
  <c r="P17" i="30"/>
  <c r="K17" i="30"/>
  <c r="P15" i="30"/>
  <c r="K15" i="30"/>
  <c r="P13" i="30"/>
  <c r="L13" i="16" s="1"/>
  <c r="K13" i="30"/>
  <c r="F10" i="29"/>
  <c r="B285" i="21" l="1"/>
  <c r="W284" i="21"/>
  <c r="C284" i="21"/>
  <c r="X284" i="21" s="1"/>
  <c r="W234" i="21"/>
  <c r="B235" i="21"/>
  <c r="C234" i="21"/>
  <c r="S25" i="31"/>
  <c r="T25" i="31" s="1"/>
  <c r="S55" i="31"/>
  <c r="T55" i="31" s="1"/>
  <c r="S49" i="31"/>
  <c r="T49" i="31" s="1"/>
  <c r="S47" i="31"/>
  <c r="T47" i="31" s="1"/>
  <c r="S21" i="31"/>
  <c r="T21" i="31" s="1"/>
  <c r="S35" i="31"/>
  <c r="T35" i="31" s="1"/>
  <c r="S48" i="31"/>
  <c r="T48" i="31" s="1"/>
  <c r="S52" i="31"/>
  <c r="T52" i="31" s="1"/>
  <c r="S30" i="31"/>
  <c r="T30" i="31" s="1"/>
  <c r="S22" i="31"/>
  <c r="T22" i="31" s="1"/>
  <c r="S27" i="31"/>
  <c r="T27" i="31" s="1"/>
  <c r="S31" i="31"/>
  <c r="T31" i="31" s="1"/>
  <c r="S24" i="31"/>
  <c r="T24" i="31" s="1"/>
  <c r="S38" i="31"/>
  <c r="T38" i="31" s="1"/>
  <c r="S56" i="31"/>
  <c r="T56" i="31" s="1"/>
  <c r="S28" i="31"/>
  <c r="T28" i="31" s="1"/>
  <c r="S32" i="31"/>
  <c r="T32" i="31" s="1"/>
  <c r="S29" i="31"/>
  <c r="T29" i="31" s="1"/>
  <c r="S45" i="31"/>
  <c r="T45" i="31" s="1"/>
  <c r="X24" i="32"/>
  <c r="S40" i="31"/>
  <c r="T40" i="31" s="1"/>
  <c r="X33" i="32"/>
  <c r="X16" i="32"/>
  <c r="S39" i="31"/>
  <c r="T39" i="31" s="1"/>
  <c r="X32" i="32"/>
  <c r="S41" i="31"/>
  <c r="T41" i="31" s="1"/>
  <c r="X34" i="32"/>
  <c r="X17" i="32"/>
  <c r="S42" i="31"/>
  <c r="T42" i="31" s="1"/>
  <c r="X35" i="32"/>
  <c r="S43" i="31"/>
  <c r="T43" i="31" s="1"/>
  <c r="X36" i="32"/>
  <c r="K9" i="31"/>
  <c r="K20" i="31"/>
  <c r="S20" i="31" s="1"/>
  <c r="T20" i="31" s="1"/>
  <c r="S34" i="31"/>
  <c r="T34" i="31" s="1"/>
  <c r="S23" i="31"/>
  <c r="T23" i="31" s="1"/>
  <c r="S37" i="31"/>
  <c r="T37" i="31" s="1"/>
  <c r="S51" i="31"/>
  <c r="T51" i="31" s="1"/>
  <c r="K16" i="31"/>
  <c r="S36" i="31"/>
  <c r="T36" i="31" s="1"/>
  <c r="S50" i="31"/>
  <c r="T50" i="31" s="1"/>
  <c r="S54" i="31"/>
  <c r="T54" i="31" s="1"/>
  <c r="S26" i="31"/>
  <c r="T26" i="31" s="1"/>
  <c r="S53" i="31"/>
  <c r="T53" i="31" s="1"/>
  <c r="K7" i="31"/>
  <c r="S7" i="31" s="1"/>
  <c r="T7" i="31" s="1"/>
  <c r="K10" i="31"/>
  <c r="I5" i="32" s="1"/>
  <c r="K18" i="31"/>
  <c r="K12" i="31"/>
  <c r="K14" i="31"/>
  <c r="D6" i="32"/>
  <c r="P3" i="21"/>
  <c r="K57" i="31"/>
  <c r="D5" i="32"/>
  <c r="M3" i="21"/>
  <c r="J3" i="21"/>
  <c r="D4" i="32"/>
  <c r="X49" i="29"/>
  <c r="Y4" i="29"/>
  <c r="AA4" i="29" s="1"/>
  <c r="Y12" i="29"/>
  <c r="AA12" i="29" s="1"/>
  <c r="Y20" i="29"/>
  <c r="AA20" i="29" s="1"/>
  <c r="Y28" i="29"/>
  <c r="AA28" i="29" s="1"/>
  <c r="Y36" i="29"/>
  <c r="AA36" i="29" s="1"/>
  <c r="Y44" i="29"/>
  <c r="AA44" i="29" s="1"/>
  <c r="X8" i="29"/>
  <c r="X24" i="29"/>
  <c r="X32" i="29"/>
  <c r="Y3" i="29"/>
  <c r="AA3" i="29" s="1"/>
  <c r="X45" i="29"/>
  <c r="Y10" i="29"/>
  <c r="AA10" i="29" s="1"/>
  <c r="X6" i="29"/>
  <c r="X38" i="29"/>
  <c r="Y11" i="29"/>
  <c r="AA11" i="29" s="1"/>
  <c r="Y35" i="29"/>
  <c r="AA35" i="29" s="1"/>
  <c r="X23" i="29"/>
  <c r="Y49" i="29"/>
  <c r="AA49" i="29" s="1"/>
  <c r="Y5" i="29"/>
  <c r="AA5" i="29" s="1"/>
  <c r="Y13" i="29"/>
  <c r="AA13" i="29" s="1"/>
  <c r="Y21" i="29"/>
  <c r="AA21" i="29" s="1"/>
  <c r="Y29" i="29"/>
  <c r="AA29" i="29" s="1"/>
  <c r="Y37" i="29"/>
  <c r="AA37" i="29" s="1"/>
  <c r="Y45" i="29"/>
  <c r="AA45" i="29" s="1"/>
  <c r="X17" i="29"/>
  <c r="X25" i="29"/>
  <c r="X41" i="29"/>
  <c r="X3" i="29"/>
  <c r="Y18" i="29"/>
  <c r="AA18" i="29" s="1"/>
  <c r="Y42" i="29"/>
  <c r="AA42" i="29" s="1"/>
  <c r="Y52" i="29"/>
  <c r="AA52" i="29" s="1"/>
  <c r="Y43" i="29"/>
  <c r="AA43" i="29" s="1"/>
  <c r="X31" i="29"/>
  <c r="Y6" i="29"/>
  <c r="AA6" i="29" s="1"/>
  <c r="Y14" i="29"/>
  <c r="AA14" i="29" s="1"/>
  <c r="Y22" i="29"/>
  <c r="AA22" i="29" s="1"/>
  <c r="Y30" i="29"/>
  <c r="AA30" i="29" s="1"/>
  <c r="Y38" i="29"/>
  <c r="AA38" i="29" s="1"/>
  <c r="Y46" i="29"/>
  <c r="AA46" i="29" s="1"/>
  <c r="X18" i="29"/>
  <c r="X26" i="29"/>
  <c r="X34" i="29"/>
  <c r="X42" i="29"/>
  <c r="X37" i="29"/>
  <c r="X52" i="29"/>
  <c r="Y34" i="29"/>
  <c r="AA34" i="29" s="1"/>
  <c r="X30" i="29"/>
  <c r="Y19" i="29"/>
  <c r="AA19" i="29" s="1"/>
  <c r="X7" i="29"/>
  <c r="X39" i="29"/>
  <c r="Y50" i="29"/>
  <c r="AA50" i="29" s="1"/>
  <c r="Y7" i="29"/>
  <c r="AA7" i="29" s="1"/>
  <c r="Y15" i="29"/>
  <c r="AA15" i="29" s="1"/>
  <c r="Y23" i="29"/>
  <c r="AA23" i="29" s="1"/>
  <c r="Y31" i="29"/>
  <c r="AA31" i="29" s="1"/>
  <c r="Y39" i="29"/>
  <c r="AA39" i="29" s="1"/>
  <c r="Y47" i="29"/>
  <c r="AA47" i="29" s="1"/>
  <c r="X27" i="29"/>
  <c r="X35" i="29"/>
  <c r="X43" i="29"/>
  <c r="X51" i="29"/>
  <c r="Y8" i="29"/>
  <c r="AA8" i="29" s="1"/>
  <c r="Y16" i="29"/>
  <c r="AA16" i="29" s="1"/>
  <c r="Y24" i="29"/>
  <c r="AA24" i="29" s="1"/>
  <c r="Y32" i="29"/>
  <c r="AA32" i="29" s="1"/>
  <c r="Y40" i="29"/>
  <c r="AA40" i="29" s="1"/>
  <c r="X12" i="29"/>
  <c r="X20" i="29"/>
  <c r="X28" i="29"/>
  <c r="X36" i="29"/>
  <c r="X44" i="29"/>
  <c r="Y51" i="29"/>
  <c r="AA51" i="29" s="1"/>
  <c r="Y9" i="29"/>
  <c r="AA9" i="29" s="1"/>
  <c r="Y17" i="29"/>
  <c r="AA17" i="29" s="1"/>
  <c r="Y25" i="29"/>
  <c r="AA25" i="29" s="1"/>
  <c r="Y33" i="29"/>
  <c r="AA33" i="29" s="1"/>
  <c r="Y41" i="29"/>
  <c r="AA41" i="29" s="1"/>
  <c r="X5" i="29"/>
  <c r="X21" i="29"/>
  <c r="X29" i="29"/>
  <c r="X48" i="29"/>
  <c r="Y26" i="29"/>
  <c r="AA26" i="29" s="1"/>
  <c r="X14" i="29"/>
  <c r="X46" i="29"/>
  <c r="Y48" i="29"/>
  <c r="AA48" i="29" s="1"/>
  <c r="Y27" i="29"/>
  <c r="AA27" i="29" s="1"/>
  <c r="X15" i="29"/>
  <c r="I4" i="32"/>
  <c r="I13" i="32"/>
  <c r="I30" i="32"/>
  <c r="I46" i="32"/>
  <c r="I47" i="32"/>
  <c r="I14" i="32"/>
  <c r="I37" i="32"/>
  <c r="I51" i="32"/>
  <c r="I33" i="32"/>
  <c r="I19" i="32"/>
  <c r="I23" i="32"/>
  <c r="I27" i="32"/>
  <c r="I31" i="32"/>
  <c r="I35" i="32"/>
  <c r="I16" i="32"/>
  <c r="I43" i="32"/>
  <c r="I28" i="32"/>
  <c r="I42" i="32"/>
  <c r="I50" i="32"/>
  <c r="I22" i="32"/>
  <c r="I17" i="32"/>
  <c r="I24" i="32"/>
  <c r="I36" i="32"/>
  <c r="I41" i="32"/>
  <c r="I38" i="32"/>
  <c r="I20" i="32"/>
  <c r="I40" i="32"/>
  <c r="I48" i="32"/>
  <c r="I6" i="32"/>
  <c r="I25" i="32"/>
  <c r="I26" i="32"/>
  <c r="I34" i="32"/>
  <c r="I39" i="32"/>
  <c r="I44" i="32"/>
  <c r="X30" i="32"/>
  <c r="X14" i="32"/>
  <c r="X20" i="32"/>
  <c r="X4" i="32"/>
  <c r="K17" i="31"/>
  <c r="I12" i="32" s="1"/>
  <c r="X7" i="32"/>
  <c r="X22" i="32"/>
  <c r="K15" i="31"/>
  <c r="K8" i="31"/>
  <c r="I3" i="32" s="1"/>
  <c r="K13" i="31"/>
  <c r="B187" i="21"/>
  <c r="C186" i="21"/>
  <c r="C34" i="21"/>
  <c r="B35" i="21"/>
  <c r="W35" i="21" s="1"/>
  <c r="S11" i="31"/>
  <c r="T11" i="31" s="1"/>
  <c r="S16" i="31"/>
  <c r="T16" i="31" s="1"/>
  <c r="S9" i="31"/>
  <c r="T9" i="31" s="1"/>
  <c r="S6" i="31"/>
  <c r="S18" i="31"/>
  <c r="T18" i="31" s="1"/>
  <c r="S19" i="31"/>
  <c r="T19" i="31" s="1"/>
  <c r="F28" i="29"/>
  <c r="D28" i="29"/>
  <c r="G27" i="17"/>
  <c r="D27" i="17"/>
  <c r="G28" i="17"/>
  <c r="D28" i="17"/>
  <c r="G25" i="17"/>
  <c r="D25" i="17"/>
  <c r="G26" i="17"/>
  <c r="D26" i="17"/>
  <c r="C32" i="17"/>
  <c r="C31" i="17"/>
  <c r="C38" i="1"/>
  <c r="C37" i="1"/>
  <c r="D29" i="16"/>
  <c r="D31" i="16"/>
  <c r="D27" i="16"/>
  <c r="D25" i="16"/>
  <c r="D23" i="16"/>
  <c r="D21" i="16"/>
  <c r="D19" i="16"/>
  <c r="D31" i="13"/>
  <c r="D29" i="13"/>
  <c r="D27" i="13"/>
  <c r="D25" i="13"/>
  <c r="D23" i="13"/>
  <c r="D21" i="13"/>
  <c r="D19" i="13"/>
  <c r="L33" i="1"/>
  <c r="L31" i="1"/>
  <c r="L29" i="1"/>
  <c r="L27" i="1"/>
  <c r="L25" i="1"/>
  <c r="L23" i="1"/>
  <c r="L21" i="1"/>
  <c r="L19" i="1"/>
  <c r="K25" i="16"/>
  <c r="K27" i="16"/>
  <c r="J27" i="16"/>
  <c r="K23" i="13"/>
  <c r="H25" i="13"/>
  <c r="K27" i="13"/>
  <c r="F27" i="13"/>
  <c r="J4" i="1"/>
  <c r="I10" i="1"/>
  <c r="H10" i="1"/>
  <c r="F10" i="13"/>
  <c r="J27" i="1"/>
  <c r="K23" i="17"/>
  <c r="K31" i="1"/>
  <c r="K25" i="17"/>
  <c r="K27" i="17"/>
  <c r="J21" i="1"/>
  <c r="H28" i="13"/>
  <c r="J25" i="16"/>
  <c r="L25" i="16"/>
  <c r="F31" i="16"/>
  <c r="H27" i="16"/>
  <c r="F25" i="16"/>
  <c r="L27" i="16"/>
  <c r="J27" i="13"/>
  <c r="L27" i="13"/>
  <c r="H25" i="16"/>
  <c r="F32" i="16"/>
  <c r="F30" i="16"/>
  <c r="H30" i="16"/>
  <c r="F28" i="16"/>
  <c r="H28" i="16"/>
  <c r="F27" i="16"/>
  <c r="H26" i="16"/>
  <c r="F26" i="16"/>
  <c r="J31" i="13"/>
  <c r="H31" i="13"/>
  <c r="L31" i="13"/>
  <c r="F32" i="13"/>
  <c r="H32" i="13"/>
  <c r="F28" i="13"/>
  <c r="H27" i="13"/>
  <c r="K29" i="13"/>
  <c r="H30" i="13"/>
  <c r="L29" i="13"/>
  <c r="F29" i="13"/>
  <c r="F30" i="13"/>
  <c r="J29" i="13"/>
  <c r="H29" i="13"/>
  <c r="K29" i="16"/>
  <c r="L29" i="16"/>
  <c r="J29" i="16"/>
  <c r="H31" i="16"/>
  <c r="J31" i="16"/>
  <c r="H29" i="16"/>
  <c r="K31" i="16"/>
  <c r="L31" i="16"/>
  <c r="F29" i="16"/>
  <c r="H32" i="16"/>
  <c r="K31" i="13"/>
  <c r="F31" i="13"/>
  <c r="K21" i="17"/>
  <c r="K19" i="17"/>
  <c r="F19" i="16"/>
  <c r="G34" i="1"/>
  <c r="K23" i="16"/>
  <c r="H23" i="16"/>
  <c r="H24" i="16"/>
  <c r="J23" i="16"/>
  <c r="F24" i="16"/>
  <c r="J25" i="1"/>
  <c r="K21" i="1"/>
  <c r="G25" i="1"/>
  <c r="I29" i="1"/>
  <c r="L23" i="16"/>
  <c r="F23" i="16"/>
  <c r="F26" i="13"/>
  <c r="L25" i="13"/>
  <c r="D22" i="17"/>
  <c r="G22" i="17"/>
  <c r="G21" i="17"/>
  <c r="D23" i="17"/>
  <c r="G23" i="17"/>
  <c r="G19" i="17"/>
  <c r="D19" i="17"/>
  <c r="I25" i="1"/>
  <c r="I21" i="1"/>
  <c r="I33" i="1"/>
  <c r="J31" i="1"/>
  <c r="J33" i="1"/>
  <c r="I23" i="1"/>
  <c r="K23" i="1"/>
  <c r="K29" i="1"/>
  <c r="G29" i="1"/>
  <c r="J19" i="1"/>
  <c r="K27" i="1"/>
  <c r="K33" i="1"/>
  <c r="K25" i="1"/>
  <c r="I27" i="1"/>
  <c r="I19" i="1"/>
  <c r="J23" i="1"/>
  <c r="I31" i="1"/>
  <c r="K19" i="1"/>
  <c r="J29" i="1"/>
  <c r="D20" i="1"/>
  <c r="G20" i="1"/>
  <c r="D19" i="1"/>
  <c r="G19" i="1"/>
  <c r="G28" i="1"/>
  <c r="D27" i="1"/>
  <c r="G27" i="1"/>
  <c r="D28" i="1"/>
  <c r="D24" i="17"/>
  <c r="G24" i="17"/>
  <c r="D22" i="1"/>
  <c r="D21" i="1"/>
  <c r="D26" i="1"/>
  <c r="G26" i="1"/>
  <c r="D25" i="1"/>
  <c r="D30" i="1"/>
  <c r="D29" i="1"/>
  <c r="D34" i="1"/>
  <c r="D33" i="1"/>
  <c r="G33" i="1"/>
  <c r="G22" i="1"/>
  <c r="G21" i="1"/>
  <c r="D21" i="17"/>
  <c r="G20" i="17"/>
  <c r="D20" i="17"/>
  <c r="H21" i="13"/>
  <c r="F20" i="13"/>
  <c r="G24" i="1"/>
  <c r="D24" i="1"/>
  <c r="D23" i="1"/>
  <c r="G23" i="1"/>
  <c r="G31" i="1"/>
  <c r="D31" i="1"/>
  <c r="D32" i="1"/>
  <c r="G32" i="1"/>
  <c r="G30" i="1"/>
  <c r="H20" i="13"/>
  <c r="W235" i="21" l="1"/>
  <c r="C235" i="21"/>
  <c r="B236" i="21"/>
  <c r="B286" i="21"/>
  <c r="W285" i="21"/>
  <c r="C285" i="21"/>
  <c r="X285" i="21" s="1"/>
  <c r="Z20" i="29"/>
  <c r="I2" i="32"/>
  <c r="L2" i="32" s="1"/>
  <c r="L10" i="16"/>
  <c r="K10" i="17"/>
  <c r="X9" i="32"/>
  <c r="X27" i="32"/>
  <c r="X19" i="29"/>
  <c r="Z19" i="29" s="1"/>
  <c r="X47" i="29"/>
  <c r="Z47" i="29" s="1"/>
  <c r="X50" i="29"/>
  <c r="Z50" i="29" s="1"/>
  <c r="S46" i="31"/>
  <c r="T46" i="31" s="1"/>
  <c r="X10" i="32"/>
  <c r="I45" i="32"/>
  <c r="K45" i="32" s="1"/>
  <c r="S44" i="31"/>
  <c r="T44" i="31" s="1"/>
  <c r="X37" i="32"/>
  <c r="I29" i="32"/>
  <c r="L29" i="32" s="1"/>
  <c r="I21" i="32"/>
  <c r="K21" i="32" s="1"/>
  <c r="X22" i="29"/>
  <c r="Z22" i="29" s="1"/>
  <c r="X8" i="32"/>
  <c r="X25" i="32"/>
  <c r="X3" i="32"/>
  <c r="S12" i="31"/>
  <c r="T12" i="31" s="1"/>
  <c r="X9" i="29"/>
  <c r="Z9" i="29" s="1"/>
  <c r="X26" i="32"/>
  <c r="I18" i="32"/>
  <c r="L18" i="32" s="1"/>
  <c r="X13" i="32"/>
  <c r="I49" i="32"/>
  <c r="K49" i="32" s="1"/>
  <c r="X5" i="32"/>
  <c r="X23" i="32"/>
  <c r="I11" i="32"/>
  <c r="L11" i="32" s="1"/>
  <c r="Z44" i="29"/>
  <c r="Z27" i="29"/>
  <c r="Z49" i="29"/>
  <c r="Z46" i="29"/>
  <c r="Z48" i="29"/>
  <c r="Z34" i="29"/>
  <c r="Z38" i="29"/>
  <c r="I15" i="32"/>
  <c r="L15" i="32" s="1"/>
  <c r="X33" i="29"/>
  <c r="Z33" i="29" s="1"/>
  <c r="S15" i="31"/>
  <c r="T15" i="31" s="1"/>
  <c r="Z5" i="29"/>
  <c r="Z36" i="29"/>
  <c r="X40" i="29"/>
  <c r="Z40" i="29" s="1"/>
  <c r="Z12" i="29"/>
  <c r="Z35" i="29"/>
  <c r="S10" i="31"/>
  <c r="T10" i="31" s="1"/>
  <c r="Z42" i="29"/>
  <c r="X16" i="29"/>
  <c r="Z16" i="29" s="1"/>
  <c r="I7" i="32"/>
  <c r="K7" i="32" s="1"/>
  <c r="I32" i="32"/>
  <c r="K32" i="32" s="1"/>
  <c r="X4" i="29"/>
  <c r="Z4" i="29" s="1"/>
  <c r="Z30" i="29"/>
  <c r="Z52" i="29"/>
  <c r="Z24" i="29"/>
  <c r="Z29" i="29"/>
  <c r="Z39" i="29"/>
  <c r="Z21" i="29"/>
  <c r="Z26" i="29"/>
  <c r="Z41" i="29"/>
  <c r="Z25" i="29"/>
  <c r="Z51" i="29"/>
  <c r="S17" i="31"/>
  <c r="T17" i="31" s="1"/>
  <c r="Z14" i="29"/>
  <c r="Z43" i="29"/>
  <c r="Z17" i="29"/>
  <c r="Z23" i="29"/>
  <c r="Z37" i="29"/>
  <c r="Z32" i="29"/>
  <c r="S14" i="31"/>
  <c r="T14" i="31" s="1"/>
  <c r="I9" i="32"/>
  <c r="K9" i="32" s="1"/>
  <c r="Z18" i="29"/>
  <c r="Z6" i="29"/>
  <c r="Z28" i="29"/>
  <c r="X10" i="29"/>
  <c r="Z10" i="29" s="1"/>
  <c r="Z31" i="29"/>
  <c r="Z45" i="29"/>
  <c r="K3" i="32"/>
  <c r="L3" i="32"/>
  <c r="L42" i="32"/>
  <c r="K42" i="32"/>
  <c r="K19" i="32"/>
  <c r="L19" i="32"/>
  <c r="K6" i="32"/>
  <c r="L6" i="32"/>
  <c r="K12" i="32"/>
  <c r="L12" i="32"/>
  <c r="K50" i="32"/>
  <c r="L50" i="32"/>
  <c r="K27" i="32"/>
  <c r="L27" i="32"/>
  <c r="K37" i="32"/>
  <c r="L37" i="32"/>
  <c r="K48" i="32"/>
  <c r="L48" i="32"/>
  <c r="K14" i="32"/>
  <c r="L14" i="32"/>
  <c r="K28" i="32"/>
  <c r="L28" i="32"/>
  <c r="K4" i="32"/>
  <c r="L4" i="32"/>
  <c r="L44" i="32"/>
  <c r="K44" i="32"/>
  <c r="K36" i="32"/>
  <c r="L36" i="32"/>
  <c r="K39" i="32"/>
  <c r="L39" i="32"/>
  <c r="L34" i="32"/>
  <c r="K34" i="32"/>
  <c r="L17" i="32"/>
  <c r="K17" i="32"/>
  <c r="K16" i="32"/>
  <c r="L16" i="32"/>
  <c r="L33" i="32"/>
  <c r="K33" i="32"/>
  <c r="K46" i="32"/>
  <c r="L46" i="32"/>
  <c r="K13" i="32"/>
  <c r="L13" i="32"/>
  <c r="L5" i="32"/>
  <c r="K5" i="32"/>
  <c r="K43" i="32"/>
  <c r="L43" i="32"/>
  <c r="K38" i="32"/>
  <c r="L38" i="32"/>
  <c r="K2" i="32"/>
  <c r="K26" i="32"/>
  <c r="L26" i="32"/>
  <c r="L41" i="32"/>
  <c r="K41" i="32"/>
  <c r="K22" i="32"/>
  <c r="L22" i="32"/>
  <c r="K35" i="32"/>
  <c r="L35" i="32"/>
  <c r="K51" i="32"/>
  <c r="L51" i="32"/>
  <c r="K30" i="32"/>
  <c r="L30" i="32"/>
  <c r="K23" i="32"/>
  <c r="L23" i="32"/>
  <c r="L40" i="32"/>
  <c r="K40" i="32"/>
  <c r="L20" i="32"/>
  <c r="K20" i="32"/>
  <c r="L24" i="32"/>
  <c r="K24" i="32"/>
  <c r="K47" i="32"/>
  <c r="L47" i="32"/>
  <c r="L25" i="32"/>
  <c r="K25" i="32"/>
  <c r="K31" i="32"/>
  <c r="L31" i="32"/>
  <c r="Z8" i="29"/>
  <c r="S13" i="31"/>
  <c r="T13" i="31" s="1"/>
  <c r="X6" i="32"/>
  <c r="X21" i="32"/>
  <c r="I8" i="32"/>
  <c r="X15" i="32"/>
  <c r="X31" i="32"/>
  <c r="I10" i="32"/>
  <c r="Z15" i="29"/>
  <c r="S26" i="29"/>
  <c r="H24" i="29" s="1"/>
  <c r="J24" i="29" s="1"/>
  <c r="L24" i="29" s="1"/>
  <c r="S8" i="31"/>
  <c r="T8" i="31" s="1"/>
  <c r="X13" i="29"/>
  <c r="Z13" i="29" s="1"/>
  <c r="X11" i="29"/>
  <c r="Z11" i="29" s="1"/>
  <c r="Z7" i="29"/>
  <c r="Z3" i="29"/>
  <c r="B188" i="21"/>
  <c r="C187" i="21"/>
  <c r="B36" i="21"/>
  <c r="W36" i="21" s="1"/>
  <c r="C35" i="21"/>
  <c r="K13" i="1"/>
  <c r="L23" i="13"/>
  <c r="F24" i="13"/>
  <c r="J23" i="13"/>
  <c r="H24" i="13"/>
  <c r="F23" i="13"/>
  <c r="H19" i="16"/>
  <c r="J21" i="13"/>
  <c r="K25" i="13"/>
  <c r="L21" i="13"/>
  <c r="H23" i="13"/>
  <c r="J19" i="13"/>
  <c r="L19" i="13"/>
  <c r="K21" i="13"/>
  <c r="H19" i="13"/>
  <c r="F22" i="13"/>
  <c r="H20" i="16"/>
  <c r="K19" i="13"/>
  <c r="H22" i="13"/>
  <c r="F21" i="13"/>
  <c r="J19" i="16"/>
  <c r="F19" i="13"/>
  <c r="F25" i="13"/>
  <c r="J25" i="13"/>
  <c r="H26" i="13"/>
  <c r="H22" i="16"/>
  <c r="L19" i="16"/>
  <c r="L21" i="16"/>
  <c r="K19" i="16"/>
  <c r="F20" i="16"/>
  <c r="F21" i="16"/>
  <c r="F22" i="16"/>
  <c r="H21" i="16"/>
  <c r="K21" i="16"/>
  <c r="G10" i="17"/>
  <c r="J21" i="16"/>
  <c r="F13" i="1"/>
  <c r="F10" i="1"/>
  <c r="K10" i="1"/>
  <c r="G10" i="1"/>
  <c r="L10" i="13"/>
  <c r="B287" i="21" l="1"/>
  <c r="W286" i="21"/>
  <c r="C286" i="21"/>
  <c r="X286" i="21" s="1"/>
  <c r="W236" i="21"/>
  <c r="C236" i="21"/>
  <c r="B237" i="21"/>
  <c r="L45" i="32"/>
  <c r="L7" i="32"/>
  <c r="L21" i="32"/>
  <c r="K18" i="32"/>
  <c r="K11" i="32"/>
  <c r="L49" i="32"/>
  <c r="K29" i="32"/>
  <c r="K15" i="32"/>
  <c r="L32" i="32"/>
  <c r="L9" i="32"/>
  <c r="L8" i="32"/>
  <c r="K8" i="32"/>
  <c r="K10" i="32"/>
  <c r="L10" i="32"/>
  <c r="S22" i="29"/>
  <c r="H20" i="29" s="1"/>
  <c r="B189" i="21"/>
  <c r="C188" i="21"/>
  <c r="B37" i="21"/>
  <c r="W37" i="21" s="1"/>
  <c r="C36" i="21"/>
  <c r="W237" i="21" l="1"/>
  <c r="C237" i="21"/>
  <c r="B238" i="21"/>
  <c r="B288" i="21"/>
  <c r="W287" i="21"/>
  <c r="C287" i="21"/>
  <c r="X287" i="21" s="1"/>
  <c r="H28" i="29"/>
  <c r="J20" i="29"/>
  <c r="B190" i="21"/>
  <c r="C189" i="21"/>
  <c r="B38" i="21"/>
  <c r="W38" i="21" s="1"/>
  <c r="C37" i="21"/>
  <c r="B289" i="21" l="1"/>
  <c r="W288" i="21"/>
  <c r="C288" i="21"/>
  <c r="X288" i="21" s="1"/>
  <c r="W238" i="21"/>
  <c r="C238" i="21"/>
  <c r="B239" i="21"/>
  <c r="L20" i="29"/>
  <c r="L28" i="29" s="1"/>
  <c r="K35" i="29" s="1"/>
  <c r="J28" i="29"/>
  <c r="B191" i="21"/>
  <c r="C190" i="21"/>
  <c r="C38" i="21"/>
  <c r="B39" i="21"/>
  <c r="W39" i="21" s="1"/>
  <c r="W239" i="21" l="1"/>
  <c r="C239" i="21"/>
  <c r="B240" i="21"/>
  <c r="B290" i="21"/>
  <c r="W289" i="21"/>
  <c r="C289" i="21"/>
  <c r="X289" i="21" s="1"/>
  <c r="B192" i="21"/>
  <c r="C191" i="21"/>
  <c r="C39" i="21"/>
  <c r="B40" i="21"/>
  <c r="W40" i="21" s="1"/>
  <c r="B291" i="21" l="1"/>
  <c r="W290" i="21"/>
  <c r="C290" i="21"/>
  <c r="X290" i="21" s="1"/>
  <c r="W240" i="21"/>
  <c r="C240" i="21"/>
  <c r="B241" i="21"/>
  <c r="B193" i="21"/>
  <c r="C192" i="21"/>
  <c r="B41" i="21"/>
  <c r="W41" i="21" s="1"/>
  <c r="C40" i="21"/>
  <c r="W241" i="21" l="1"/>
  <c r="B242" i="21"/>
  <c r="C241" i="21"/>
  <c r="B292" i="21"/>
  <c r="W291" i="21"/>
  <c r="C291" i="21"/>
  <c r="X291" i="21" s="1"/>
  <c r="B194" i="21"/>
  <c r="C193" i="21"/>
  <c r="B42" i="21"/>
  <c r="W42" i="21" s="1"/>
  <c r="C41" i="21"/>
  <c r="B293" i="21" l="1"/>
  <c r="W292" i="21"/>
  <c r="C292" i="21"/>
  <c r="X292" i="21" s="1"/>
  <c r="W242" i="21"/>
  <c r="C242" i="21"/>
  <c r="B243" i="21"/>
  <c r="B195" i="21"/>
  <c r="C194" i="21"/>
  <c r="C42" i="21"/>
  <c r="B43" i="21"/>
  <c r="W43" i="21" s="1"/>
  <c r="W243" i="21" l="1"/>
  <c r="C243" i="21"/>
  <c r="B244" i="21"/>
  <c r="B294" i="21"/>
  <c r="W293" i="21"/>
  <c r="C293" i="21"/>
  <c r="X293" i="21" s="1"/>
  <c r="B196" i="21"/>
  <c r="C195" i="21"/>
  <c r="C43" i="21"/>
  <c r="B44" i="21"/>
  <c r="W44" i="21" s="1"/>
  <c r="B295" i="21" l="1"/>
  <c r="W294" i="21"/>
  <c r="C294" i="21"/>
  <c r="X294" i="21" s="1"/>
  <c r="W244" i="21"/>
  <c r="B245" i="21"/>
  <c r="C244" i="21"/>
  <c r="B197" i="21"/>
  <c r="C196" i="21"/>
  <c r="B45" i="21"/>
  <c r="W45" i="21" s="1"/>
  <c r="C44" i="21"/>
  <c r="W245" i="21" l="1"/>
  <c r="B246" i="21"/>
  <c r="C245" i="21"/>
  <c r="B296" i="21"/>
  <c r="W295" i="21"/>
  <c r="C295" i="21"/>
  <c r="X295" i="21" s="1"/>
  <c r="B198" i="21"/>
  <c r="C197" i="21"/>
  <c r="B46" i="21"/>
  <c r="W46" i="21" s="1"/>
  <c r="C45" i="21"/>
  <c r="B297" i="21" l="1"/>
  <c r="W296" i="21"/>
  <c r="C296" i="21"/>
  <c r="X296" i="21" s="1"/>
  <c r="W246" i="21"/>
  <c r="B247" i="21"/>
  <c r="C246" i="21"/>
  <c r="B199" i="21"/>
  <c r="C198" i="21"/>
  <c r="C46" i="21"/>
  <c r="B47" i="21"/>
  <c r="W47" i="21" s="1"/>
  <c r="W247" i="21" l="1"/>
  <c r="C247" i="21"/>
  <c r="B248" i="21"/>
  <c r="B298" i="21"/>
  <c r="W297" i="21"/>
  <c r="C297" i="21"/>
  <c r="X297" i="21" s="1"/>
  <c r="B200" i="21"/>
  <c r="C199" i="21"/>
  <c r="C47" i="21"/>
  <c r="B48" i="21"/>
  <c r="W48" i="21" s="1"/>
  <c r="B299" i="21" l="1"/>
  <c r="W298" i="21"/>
  <c r="C298" i="21"/>
  <c r="X298" i="21" s="1"/>
  <c r="W248" i="21"/>
  <c r="B249" i="21"/>
  <c r="C248" i="21"/>
  <c r="B201" i="21"/>
  <c r="C200" i="21"/>
  <c r="B49" i="21"/>
  <c r="W49" i="21" s="1"/>
  <c r="C48" i="21"/>
  <c r="W249" i="21" l="1"/>
  <c r="B250" i="21"/>
  <c r="C249" i="21"/>
  <c r="B300" i="21"/>
  <c r="W299" i="21"/>
  <c r="C299" i="21"/>
  <c r="X299" i="21" s="1"/>
  <c r="B202" i="21"/>
  <c r="C201" i="21"/>
  <c r="B50" i="21"/>
  <c r="W50" i="21" s="1"/>
  <c r="C49" i="21"/>
  <c r="B301" i="21" l="1"/>
  <c r="W300" i="21"/>
  <c r="C300" i="21"/>
  <c r="X300" i="21" s="1"/>
  <c r="W250" i="21"/>
  <c r="B251" i="21"/>
  <c r="C250" i="21"/>
  <c r="B203" i="21"/>
  <c r="C203" i="21" s="1"/>
  <c r="C202" i="21"/>
  <c r="C50" i="21"/>
  <c r="B51" i="21"/>
  <c r="W51" i="21" s="1"/>
  <c r="W251" i="21" l="1"/>
  <c r="C251" i="21"/>
  <c r="B252" i="21"/>
  <c r="B302" i="21"/>
  <c r="W301" i="21"/>
  <c r="C301" i="21"/>
  <c r="X301" i="21" s="1"/>
  <c r="C51" i="21"/>
  <c r="B52" i="21"/>
  <c r="W52" i="21" s="1"/>
  <c r="B303" i="21" l="1"/>
  <c r="W302" i="21"/>
  <c r="C302" i="21"/>
  <c r="X302" i="21" s="1"/>
  <c r="W252" i="21"/>
  <c r="C252" i="21"/>
  <c r="B253" i="21"/>
  <c r="B53" i="21"/>
  <c r="W53" i="21" s="1"/>
  <c r="C52" i="21"/>
  <c r="C253" i="21" l="1"/>
  <c r="W253" i="21"/>
  <c r="B304" i="21"/>
  <c r="W303" i="21"/>
  <c r="C303" i="21"/>
  <c r="X303" i="21" s="1"/>
  <c r="C53" i="21"/>
  <c r="B305" i="21" l="1"/>
  <c r="W304" i="21"/>
  <c r="C304" i="21"/>
  <c r="X304" i="21" s="1"/>
  <c r="C54" i="21"/>
  <c r="B55" i="21"/>
  <c r="W55" i="21" s="1"/>
  <c r="B306" i="21" l="1"/>
  <c r="W305" i="21"/>
  <c r="C305" i="21"/>
  <c r="X305" i="21" s="1"/>
  <c r="C55" i="21"/>
  <c r="B56" i="21"/>
  <c r="W56" i="21" s="1"/>
  <c r="B307" i="21" l="1"/>
  <c r="W306" i="21"/>
  <c r="C306" i="21"/>
  <c r="X306" i="21" s="1"/>
  <c r="B57" i="21"/>
  <c r="W57" i="21" s="1"/>
  <c r="C56" i="21"/>
  <c r="B308" i="21" l="1"/>
  <c r="W307" i="21"/>
  <c r="C307" i="21"/>
  <c r="X307" i="21" s="1"/>
  <c r="B58" i="21"/>
  <c r="W58" i="21" s="1"/>
  <c r="C57" i="21"/>
  <c r="B309" i="21" l="1"/>
  <c r="W308" i="21"/>
  <c r="C308" i="21"/>
  <c r="X308" i="21" s="1"/>
  <c r="C58" i="21"/>
  <c r="B59" i="21"/>
  <c r="W59" i="21" s="1"/>
  <c r="B310" i="21" l="1"/>
  <c r="W309" i="21"/>
  <c r="C309" i="21"/>
  <c r="X309" i="21" s="1"/>
  <c r="C59" i="21"/>
  <c r="B60" i="21"/>
  <c r="W60" i="21" s="1"/>
  <c r="B311" i="21" l="1"/>
  <c r="W310" i="21"/>
  <c r="C310" i="21"/>
  <c r="X310" i="21" s="1"/>
  <c r="B61" i="21"/>
  <c r="W61" i="21" s="1"/>
  <c r="C60" i="21"/>
  <c r="B312" i="21" l="1"/>
  <c r="W311" i="21"/>
  <c r="C311" i="21"/>
  <c r="X311" i="21" s="1"/>
  <c r="B62" i="21"/>
  <c r="W62" i="21" s="1"/>
  <c r="C61" i="21"/>
  <c r="B313" i="21" l="1"/>
  <c r="W312" i="21"/>
  <c r="C312" i="21"/>
  <c r="X312" i="21" s="1"/>
  <c r="C62" i="21"/>
  <c r="B63" i="21"/>
  <c r="W63" i="21" s="1"/>
  <c r="B314" i="21" l="1"/>
  <c r="W313" i="21"/>
  <c r="C313" i="21"/>
  <c r="X313" i="21" s="1"/>
  <c r="C63" i="21"/>
  <c r="B64" i="21"/>
  <c r="W64" i="21" s="1"/>
  <c r="B315" i="21" l="1"/>
  <c r="W314" i="21"/>
  <c r="C314" i="21"/>
  <c r="X314" i="21" s="1"/>
  <c r="B65" i="21"/>
  <c r="W65" i="21" s="1"/>
  <c r="C64" i="21"/>
  <c r="B316" i="21" l="1"/>
  <c r="W315" i="21"/>
  <c r="C315" i="21"/>
  <c r="X315" i="21" s="1"/>
  <c r="B66" i="21"/>
  <c r="W66" i="21" s="1"/>
  <c r="C65" i="21"/>
  <c r="B317" i="21" l="1"/>
  <c r="W316" i="21"/>
  <c r="C316" i="21"/>
  <c r="X316" i="21" s="1"/>
  <c r="C66" i="21"/>
  <c r="B67" i="21"/>
  <c r="W67" i="21" s="1"/>
  <c r="B318" i="21" l="1"/>
  <c r="W317" i="21"/>
  <c r="C317" i="21"/>
  <c r="X317" i="21" s="1"/>
  <c r="C67" i="21"/>
  <c r="B68" i="21"/>
  <c r="W68" i="21" s="1"/>
  <c r="B319" i="21" l="1"/>
  <c r="W318" i="21"/>
  <c r="C318" i="21"/>
  <c r="X318" i="21" s="1"/>
  <c r="B69" i="21"/>
  <c r="W69" i="21" s="1"/>
  <c r="C68" i="21"/>
  <c r="B320" i="21" l="1"/>
  <c r="W319" i="21"/>
  <c r="C319" i="21"/>
  <c r="X319" i="21" s="1"/>
  <c r="B70" i="21"/>
  <c r="W70" i="21" s="1"/>
  <c r="C69" i="21"/>
  <c r="B321" i="21" l="1"/>
  <c r="W320" i="21"/>
  <c r="C320" i="21"/>
  <c r="X320" i="21" s="1"/>
  <c r="C70" i="21"/>
  <c r="B71" i="21"/>
  <c r="W71" i="21" s="1"/>
  <c r="B322" i="21" l="1"/>
  <c r="W321" i="21"/>
  <c r="C321" i="21"/>
  <c r="X321" i="21" s="1"/>
  <c r="C71" i="21"/>
  <c r="B72" i="21"/>
  <c r="W72" i="21" s="1"/>
  <c r="B323" i="21" l="1"/>
  <c r="W322" i="21"/>
  <c r="C322" i="21"/>
  <c r="X322" i="21" s="1"/>
  <c r="B73" i="21"/>
  <c r="W73" i="21" s="1"/>
  <c r="C72" i="21"/>
  <c r="B324" i="21" l="1"/>
  <c r="W323" i="21"/>
  <c r="C323" i="21"/>
  <c r="X323" i="21" s="1"/>
  <c r="B74" i="21"/>
  <c r="W74" i="21" s="1"/>
  <c r="C73" i="21"/>
  <c r="B325" i="21" l="1"/>
  <c r="W324" i="21"/>
  <c r="C324" i="21"/>
  <c r="X324" i="21" s="1"/>
  <c r="C74" i="21"/>
  <c r="B75" i="21"/>
  <c r="W75" i="21" s="1"/>
  <c r="B326" i="21" l="1"/>
  <c r="W325" i="21"/>
  <c r="C325" i="21"/>
  <c r="X325" i="21" s="1"/>
  <c r="C75" i="21"/>
  <c r="B76" i="21"/>
  <c r="W76" i="21" s="1"/>
  <c r="B327" i="21" l="1"/>
  <c r="W326" i="21"/>
  <c r="C326" i="21"/>
  <c r="X326" i="21" s="1"/>
  <c r="B77" i="21"/>
  <c r="W77" i="21" s="1"/>
  <c r="C76" i="21"/>
  <c r="B328" i="21" l="1"/>
  <c r="W327" i="21"/>
  <c r="C327" i="21"/>
  <c r="X327" i="21" s="1"/>
  <c r="B78" i="21"/>
  <c r="W78" i="21" s="1"/>
  <c r="C77" i="21"/>
  <c r="B329" i="21" l="1"/>
  <c r="W328" i="21"/>
  <c r="C328" i="21"/>
  <c r="X328" i="21" s="1"/>
  <c r="C78" i="21"/>
  <c r="B79" i="21"/>
  <c r="W79" i="21" s="1"/>
  <c r="B330" i="21" l="1"/>
  <c r="W329" i="21"/>
  <c r="C329" i="21"/>
  <c r="X329" i="21" s="1"/>
  <c r="C79" i="21"/>
  <c r="B80" i="21"/>
  <c r="W80" i="21" s="1"/>
  <c r="B331" i="21" l="1"/>
  <c r="W330" i="21"/>
  <c r="C330" i="21"/>
  <c r="X330" i="21" s="1"/>
  <c r="B81" i="21"/>
  <c r="W81" i="21" s="1"/>
  <c r="C80" i="21"/>
  <c r="B332" i="21" l="1"/>
  <c r="W331" i="21"/>
  <c r="C331" i="21"/>
  <c r="X331" i="21" s="1"/>
  <c r="B82" i="21"/>
  <c r="W82" i="21" s="1"/>
  <c r="C81" i="21"/>
  <c r="B333" i="21" l="1"/>
  <c r="W332" i="21"/>
  <c r="C332" i="21"/>
  <c r="X332" i="21" s="1"/>
  <c r="C82" i="21"/>
  <c r="B83" i="21"/>
  <c r="W83" i="21" s="1"/>
  <c r="B334" i="21" l="1"/>
  <c r="W333" i="21"/>
  <c r="C333" i="21"/>
  <c r="X333" i="21" s="1"/>
  <c r="C83" i="21"/>
  <c r="B84" i="21"/>
  <c r="W84" i="21" s="1"/>
  <c r="B335" i="21" l="1"/>
  <c r="W334" i="21"/>
  <c r="C334" i="21"/>
  <c r="X334" i="21" s="1"/>
  <c r="B85" i="21"/>
  <c r="W85" i="21" s="1"/>
  <c r="C84" i="21"/>
  <c r="B336" i="21" l="1"/>
  <c r="W335" i="21"/>
  <c r="C335" i="21"/>
  <c r="X335" i="21" s="1"/>
  <c r="B86" i="21"/>
  <c r="W86" i="21" s="1"/>
  <c r="C85" i="21"/>
  <c r="B337" i="21" l="1"/>
  <c r="W336" i="21"/>
  <c r="C336" i="21"/>
  <c r="X336" i="21" s="1"/>
  <c r="C86" i="21"/>
  <c r="B87" i="21"/>
  <c r="W87" i="21" s="1"/>
  <c r="B338" i="21" l="1"/>
  <c r="W337" i="21"/>
  <c r="C337" i="21"/>
  <c r="X337" i="21" s="1"/>
  <c r="C87" i="21"/>
  <c r="B88" i="21"/>
  <c r="W88" i="21" s="1"/>
  <c r="B339" i="21" l="1"/>
  <c r="W338" i="21"/>
  <c r="C338" i="21"/>
  <c r="X338" i="21" s="1"/>
  <c r="B89" i="21"/>
  <c r="W89" i="21" s="1"/>
  <c r="C88" i="21"/>
  <c r="B340" i="21" l="1"/>
  <c r="W339" i="21"/>
  <c r="C339" i="21"/>
  <c r="X339" i="21" s="1"/>
  <c r="B90" i="21"/>
  <c r="W90" i="21" s="1"/>
  <c r="C89" i="21"/>
  <c r="B341" i="21" l="1"/>
  <c r="W340" i="21"/>
  <c r="C340" i="21"/>
  <c r="X340" i="21" s="1"/>
  <c r="C90" i="21"/>
  <c r="B91" i="21"/>
  <c r="W91" i="21" s="1"/>
  <c r="B342" i="21" l="1"/>
  <c r="W341" i="21"/>
  <c r="C341" i="21"/>
  <c r="X341" i="21" s="1"/>
  <c r="C91" i="21"/>
  <c r="B92" i="21"/>
  <c r="W92" i="21" s="1"/>
  <c r="B343" i="21" l="1"/>
  <c r="W342" i="21"/>
  <c r="C342" i="21"/>
  <c r="X342" i="21" s="1"/>
  <c r="B93" i="21"/>
  <c r="W93" i="21" s="1"/>
  <c r="C92" i="21"/>
  <c r="B344" i="21" l="1"/>
  <c r="W343" i="21"/>
  <c r="C343" i="21"/>
  <c r="X343" i="21" s="1"/>
  <c r="B94" i="21"/>
  <c r="W94" i="21" s="1"/>
  <c r="C93" i="21"/>
  <c r="B345" i="21" l="1"/>
  <c r="W344" i="21"/>
  <c r="C344" i="21"/>
  <c r="X344" i="21" s="1"/>
  <c r="C94" i="21"/>
  <c r="B95" i="21"/>
  <c r="W95" i="21" s="1"/>
  <c r="B346" i="21" l="1"/>
  <c r="W345" i="21"/>
  <c r="C345" i="21"/>
  <c r="X345" i="21" s="1"/>
  <c r="C95" i="21"/>
  <c r="B96" i="21"/>
  <c r="W96" i="21" s="1"/>
  <c r="B347" i="21" l="1"/>
  <c r="W346" i="21"/>
  <c r="C346" i="21"/>
  <c r="B97" i="21"/>
  <c r="W97" i="21" s="1"/>
  <c r="C96" i="21"/>
  <c r="B348" i="21" l="1"/>
  <c r="W347" i="21"/>
  <c r="C347" i="21"/>
  <c r="X347" i="21" s="1"/>
  <c r="B98" i="21"/>
  <c r="W98" i="21" s="1"/>
  <c r="C97" i="21"/>
  <c r="B349" i="21" l="1"/>
  <c r="W348" i="21"/>
  <c r="C348" i="21"/>
  <c r="X348" i="21" s="1"/>
  <c r="C98" i="21"/>
  <c r="B99" i="21"/>
  <c r="W99" i="21" s="1"/>
  <c r="B350" i="21" l="1"/>
  <c r="W349" i="21"/>
  <c r="C349" i="21"/>
  <c r="X349" i="21" s="1"/>
  <c r="C99" i="21"/>
  <c r="B100" i="21"/>
  <c r="W100" i="21" s="1"/>
  <c r="B351" i="21" l="1"/>
  <c r="W350" i="21"/>
  <c r="C350" i="21"/>
  <c r="X350" i="21" s="1"/>
  <c r="B101" i="21"/>
  <c r="W101" i="21" s="1"/>
  <c r="C100" i="21"/>
  <c r="B352" i="21" l="1"/>
  <c r="W351" i="21"/>
  <c r="C351" i="21"/>
  <c r="X351" i="21" s="1"/>
  <c r="B102" i="21"/>
  <c r="W102" i="21" s="1"/>
  <c r="C101" i="21"/>
  <c r="B353" i="21" l="1"/>
  <c r="W352" i="21"/>
  <c r="C352" i="21"/>
  <c r="X352" i="21" s="1"/>
  <c r="C102" i="21"/>
  <c r="B103" i="21"/>
  <c r="W103" i="21" s="1"/>
  <c r="B354" i="21" l="1"/>
  <c r="W353" i="21"/>
  <c r="C353" i="21"/>
  <c r="X353" i="21" s="1"/>
  <c r="C103" i="21"/>
  <c r="B355" i="21" l="1"/>
  <c r="W354" i="21"/>
  <c r="C354" i="21"/>
  <c r="X354" i="21" s="1"/>
  <c r="B105" i="21"/>
  <c r="W105" i="21" s="1"/>
  <c r="C104" i="21"/>
  <c r="B356" i="21" l="1"/>
  <c r="W355" i="21"/>
  <c r="C355" i="21"/>
  <c r="X355" i="21" s="1"/>
  <c r="B106" i="21"/>
  <c r="W106" i="21" s="1"/>
  <c r="C105" i="21"/>
  <c r="B357" i="21" l="1"/>
  <c r="W356" i="21"/>
  <c r="C356" i="21"/>
  <c r="X356" i="21" s="1"/>
  <c r="C106" i="21"/>
  <c r="B107" i="21"/>
  <c r="W107" i="21" s="1"/>
  <c r="B358" i="21" l="1"/>
  <c r="B359" i="21" s="1"/>
  <c r="B360" i="21" s="1"/>
  <c r="B361" i="21" s="1"/>
  <c r="B362" i="21" s="1"/>
  <c r="B363" i="21" s="1"/>
  <c r="W357" i="21"/>
  <c r="C357" i="21"/>
  <c r="X357" i="21" s="1"/>
  <c r="C107" i="21"/>
  <c r="B108" i="21"/>
  <c r="W108" i="21" s="1"/>
  <c r="B109" i="21" l="1"/>
  <c r="W109" i="21" s="1"/>
  <c r="C108" i="21"/>
  <c r="B110" i="21" l="1"/>
  <c r="W110" i="21" s="1"/>
  <c r="C109" i="21"/>
  <c r="C110" i="21" l="1"/>
  <c r="B111" i="21"/>
  <c r="W111" i="21" s="1"/>
  <c r="C111" i="21" l="1"/>
  <c r="B112" i="21"/>
  <c r="W112" i="21" s="1"/>
  <c r="B113" i="21" l="1"/>
  <c r="W113" i="21" s="1"/>
  <c r="C112" i="21"/>
  <c r="B114" i="21" l="1"/>
  <c r="W114" i="21" s="1"/>
  <c r="C113" i="21"/>
  <c r="C114" i="21" l="1"/>
  <c r="B115" i="21"/>
  <c r="W115" i="21" s="1"/>
  <c r="C115" i="21" l="1"/>
  <c r="B116" i="21"/>
  <c r="W116" i="21" s="1"/>
  <c r="B117" i="21" l="1"/>
  <c r="W117" i="21" s="1"/>
  <c r="C116" i="21"/>
  <c r="B118" i="21" l="1"/>
  <c r="W118" i="21" s="1"/>
  <c r="C117" i="21"/>
  <c r="C118" i="21" l="1"/>
  <c r="B119" i="21"/>
  <c r="W119" i="21" s="1"/>
  <c r="C119" i="21" l="1"/>
  <c r="B120" i="21"/>
  <c r="W120" i="21" s="1"/>
  <c r="B121" i="21" l="1"/>
  <c r="W121" i="21" s="1"/>
  <c r="C120" i="21"/>
  <c r="B122" i="21" l="1"/>
  <c r="W122" i="21" s="1"/>
  <c r="C121" i="21"/>
  <c r="C122" i="21" l="1"/>
  <c r="B123" i="21"/>
  <c r="W123" i="21" s="1"/>
  <c r="C123" i="21" l="1"/>
  <c r="B124" i="21"/>
  <c r="W124" i="21" s="1"/>
  <c r="B125" i="21" l="1"/>
  <c r="W125" i="21" s="1"/>
  <c r="C124" i="21"/>
  <c r="B126" i="21" l="1"/>
  <c r="W126" i="21" s="1"/>
  <c r="C125" i="21"/>
  <c r="C126" i="21" l="1"/>
  <c r="B127" i="21"/>
  <c r="W127" i="21" s="1"/>
  <c r="C127" i="21" l="1"/>
  <c r="B128" i="21"/>
  <c r="W128" i="21" s="1"/>
  <c r="B129" i="21" l="1"/>
  <c r="W129" i="21" s="1"/>
  <c r="C128" i="21"/>
  <c r="B130" i="21" l="1"/>
  <c r="W130" i="21" s="1"/>
  <c r="C129" i="21"/>
  <c r="C130" i="21" l="1"/>
  <c r="B131" i="21"/>
  <c r="W131" i="21" s="1"/>
  <c r="C131" i="21" l="1"/>
  <c r="B132" i="21"/>
  <c r="W132" i="21" s="1"/>
  <c r="B133" i="21" l="1"/>
  <c r="W133" i="21" s="1"/>
  <c r="C132" i="21"/>
  <c r="B134" i="21" l="1"/>
  <c r="W134" i="21" s="1"/>
  <c r="C133" i="21"/>
  <c r="C134" i="21" l="1"/>
  <c r="B135" i="21"/>
  <c r="W135" i="21" s="1"/>
  <c r="C135" i="21" l="1"/>
  <c r="B136" i="21"/>
  <c r="W136" i="21" s="1"/>
  <c r="B137" i="21" l="1"/>
  <c r="W137" i="21" s="1"/>
  <c r="C136" i="21"/>
  <c r="B138" i="21" l="1"/>
  <c r="W138" i="21" s="1"/>
  <c r="C137" i="21"/>
  <c r="C138" i="21" l="1"/>
  <c r="B139" i="21"/>
  <c r="W139" i="21" s="1"/>
  <c r="C139" i="21" l="1"/>
  <c r="B140" i="21"/>
  <c r="W140" i="21" s="1"/>
  <c r="B141" i="21" l="1"/>
  <c r="W141" i="21" s="1"/>
  <c r="C140" i="21"/>
  <c r="B142" i="21" l="1"/>
  <c r="W142" i="21" s="1"/>
  <c r="C141" i="21"/>
  <c r="C142" i="21" l="1"/>
  <c r="B143" i="21"/>
  <c r="W143" i="21" s="1"/>
  <c r="C143" i="21" l="1"/>
  <c r="B144" i="21"/>
  <c r="W144" i="21" s="1"/>
  <c r="B145" i="21" l="1"/>
  <c r="W145" i="21" s="1"/>
  <c r="C144" i="21"/>
  <c r="B146" i="21" l="1"/>
  <c r="W146" i="21" s="1"/>
  <c r="C145" i="21"/>
  <c r="C146" i="21" l="1"/>
  <c r="B147" i="21"/>
  <c r="W147" i="21" s="1"/>
  <c r="C147" i="21" l="1"/>
  <c r="B148" i="21"/>
  <c r="W148" i="21" s="1"/>
  <c r="B149" i="21" l="1"/>
  <c r="W149" i="21" s="1"/>
  <c r="C148" i="21"/>
  <c r="B150" i="21" l="1"/>
  <c r="W150" i="21" s="1"/>
  <c r="C149" i="21"/>
  <c r="C150" i="21" l="1"/>
  <c r="B151" i="21"/>
  <c r="W151" i="21" s="1"/>
  <c r="C151" i="21" l="1"/>
  <c r="B152" i="21"/>
  <c r="W152" i="21" s="1"/>
  <c r="B153" i="21" l="1"/>
  <c r="W153" i="21" s="1"/>
  <c r="C152" i="21"/>
  <c r="F8" i="16" l="1"/>
  <c r="E6" i="16"/>
  <c r="P4" i="31"/>
  <c r="N4" i="31"/>
  <c r="T6" i="31"/>
  <c r="F9" i="16"/>
  <c r="E5" i="16"/>
  <c r="C153" i="21"/>
  <c r="J9" i="16" s="1"/>
  <c r="O4" i="31" l="1"/>
  <c r="H8" i="16"/>
  <c r="K4" i="31"/>
  <c r="E5" i="17"/>
  <c r="E6" i="17" l="1"/>
  <c r="E5" i="1"/>
  <c r="E6" i="1"/>
  <c r="C2" i="32"/>
  <c r="F8" i="13"/>
  <c r="J9" i="13"/>
  <c r="F9" i="1"/>
  <c r="F8" i="17"/>
  <c r="F9" i="13"/>
  <c r="H6" i="30"/>
  <c r="H8" i="13"/>
  <c r="F9" i="17"/>
  <c r="J9" i="1"/>
  <c r="H9" i="30"/>
  <c r="H8" i="30"/>
  <c r="E6" i="13"/>
  <c r="F8" i="1"/>
  <c r="E5" i="13"/>
  <c r="H8" i="1"/>
  <c r="H11" i="30"/>
  <c r="H8" i="17"/>
  <c r="H10" i="30"/>
  <c r="J9" i="17"/>
  <c r="J2" i="31" l="1"/>
  <c r="F12" i="29"/>
</calcChain>
</file>

<file path=xl/sharedStrings.xml><?xml version="1.0" encoding="utf-8"?>
<sst xmlns="http://schemas.openxmlformats.org/spreadsheetml/2006/main" count="2926" uniqueCount="2659">
  <si>
    <t>学校名</t>
    <rPh sb="0" eb="3">
      <t>ガッコウメイ</t>
    </rPh>
    <phoneticPr fontId="2"/>
  </si>
  <si>
    <t>位置</t>
    <rPh sb="0" eb="2">
      <t>イチ</t>
    </rPh>
    <phoneticPr fontId="2"/>
  </si>
  <si>
    <t>大将</t>
    <rPh sb="0" eb="2">
      <t>タイショウ</t>
    </rPh>
    <phoneticPr fontId="2"/>
  </si>
  <si>
    <t>副将</t>
    <rPh sb="0" eb="2">
      <t>フクショウ</t>
    </rPh>
    <phoneticPr fontId="2"/>
  </si>
  <si>
    <t>中堅</t>
    <rPh sb="0" eb="2">
      <t>チュウケン</t>
    </rPh>
    <phoneticPr fontId="2"/>
  </si>
  <si>
    <t>先鋒</t>
    <rPh sb="0" eb="2">
      <t>センポウ</t>
    </rPh>
    <phoneticPr fontId="2"/>
  </si>
  <si>
    <t>補欠１</t>
    <rPh sb="0" eb="2">
      <t>ホケツ</t>
    </rPh>
    <phoneticPr fontId="2"/>
  </si>
  <si>
    <t>補欠２</t>
    <rPh sb="0" eb="2">
      <t>ホケツ</t>
    </rPh>
    <phoneticPr fontId="2"/>
  </si>
  <si>
    <t>補欠３</t>
    <rPh sb="0" eb="2">
      <t>ホケツ</t>
    </rPh>
    <phoneticPr fontId="2"/>
  </si>
  <si>
    <t>個人戦出場者に○</t>
    <rPh sb="0" eb="3">
      <t>コジンセン</t>
    </rPh>
    <rPh sb="3" eb="6">
      <t>シュツジョウシャ</t>
    </rPh>
    <phoneticPr fontId="2"/>
  </si>
  <si>
    <t>位</t>
    <rPh sb="0" eb="1">
      <t>イ</t>
    </rPh>
    <phoneticPr fontId="2"/>
  </si>
  <si>
    <t>学年</t>
    <rPh sb="0" eb="2">
      <t>ガクネン</t>
    </rPh>
    <phoneticPr fontId="2"/>
  </si>
  <si>
    <t>団体戦出場者に○</t>
    <rPh sb="0" eb="3">
      <t>ダンタイセン</t>
    </rPh>
    <rPh sb="3" eb="6">
      <t>シュツジョウシャ</t>
    </rPh>
    <phoneticPr fontId="2"/>
  </si>
  <si>
    <t>階級</t>
    <rPh sb="0" eb="2">
      <t>カイキュウ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</si>
  <si>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</si>
  <si>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県名</t>
    <rPh sb="0" eb="2">
      <t>ケンメイ</t>
    </rPh>
    <phoneticPr fontId="2"/>
  </si>
  <si>
    <t>県</t>
    <rPh sb="0" eb="1">
      <t>ケン</t>
    </rPh>
    <phoneticPr fontId="2"/>
  </si>
  <si>
    <t>県順位</t>
    <rPh sb="0" eb="1">
      <t>ケン</t>
    </rPh>
    <rPh sb="1" eb="3">
      <t>ジュンイ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</si>
  <si>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</si>
  <si>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</si>
  <si>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</si>
  <si>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</si>
  <si>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宮城</t>
    <rPh sb="0" eb="2">
      <t>ミヤギ</t>
    </rPh>
    <phoneticPr fontId="2"/>
  </si>
  <si>
    <t>福島</t>
    <rPh sb="0" eb="2">
      <t>フクシマ</t>
    </rPh>
    <phoneticPr fontId="2"/>
  </si>
  <si>
    <t>ふりがな</t>
    <phoneticPr fontId="2"/>
  </si>
  <si>
    <t>学校所在地</t>
    <rPh sb="0" eb="2">
      <t>ガッコウ</t>
    </rPh>
    <rPh sb="2" eb="5">
      <t>ショザイチ</t>
    </rPh>
    <phoneticPr fontId="2"/>
  </si>
  <si>
    <t>住所</t>
    <rPh sb="0" eb="2">
      <t>ジュウショ</t>
    </rPh>
    <phoneticPr fontId="2"/>
  </si>
  <si>
    <t>監督職氏名</t>
    <rPh sb="0" eb="2">
      <t>カントク</t>
    </rPh>
    <rPh sb="2" eb="3">
      <t>ショク</t>
    </rPh>
    <rPh sb="3" eb="5">
      <t>シメイ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</si>
  <si>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</si>
  <si>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</si>
  <si>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携帯</t>
    <rPh sb="0" eb="2">
      <t>ケイタイ</t>
    </rPh>
    <phoneticPr fontId="2"/>
  </si>
  <si>
    <t>県大会
順位</t>
    <rPh sb="0" eb="3">
      <t>ケンタイカイ</t>
    </rPh>
    <rPh sb="4" eb="6">
      <t>ジュンイ</t>
    </rPh>
    <phoneticPr fontId="2"/>
  </si>
  <si>
    <t>選手名</t>
    <rPh sb="0" eb="3">
      <t>センシュメイ</t>
    </rPh>
    <phoneticPr fontId="2"/>
  </si>
  <si>
    <t>コーチ区分</t>
  </si>
  <si>
    <t>体重</t>
  </si>
  <si>
    <t>段位</t>
    <rPh sb="0" eb="1">
      <t>ダン</t>
    </rPh>
    <rPh sb="1" eb="2">
      <t>イ</t>
    </rPh>
    <phoneticPr fontId="2"/>
  </si>
  <si>
    <t>段位</t>
    <rPh sb="0" eb="2">
      <t>ダンイ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</si>
  <si>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</si>
  <si>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</si>
  <si>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校長名</t>
    <rPh sb="0" eb="2">
      <t>コウチョウ</t>
    </rPh>
    <rPh sb="2" eb="3">
      <t>メイ</t>
    </rPh>
    <phoneticPr fontId="2"/>
  </si>
  <si>
    <t>職印</t>
    <rPh sb="0" eb="2">
      <t>ショクイン</t>
    </rPh>
    <phoneticPr fontId="2"/>
  </si>
  <si>
    <t>コーチ名</t>
    <rPh sb="3" eb="4">
      <t>メイ</t>
    </rPh>
    <phoneticPr fontId="2"/>
  </si>
  <si>
    <t>ふりがな</t>
    <phoneticPr fontId="2"/>
  </si>
  <si>
    <t>〒</t>
    <phoneticPr fontId="2"/>
  </si>
  <si>
    <t>ＴＥＬ</t>
    <phoneticPr fontId="2"/>
  </si>
  <si>
    <t>ＦＡＸ</t>
    <phoneticPr fontId="2"/>
  </si>
  <si>
    <t>ふりがな</t>
    <phoneticPr fontId="2"/>
  </si>
  <si>
    <t>ＴＥＬ</t>
    <phoneticPr fontId="2"/>
  </si>
  <si>
    <t>ふりがな</t>
    <phoneticPr fontId="2"/>
  </si>
  <si>
    <t>ふりがな</t>
    <phoneticPr fontId="2"/>
  </si>
  <si>
    <t>女子団体戦申込書</t>
    <rPh sb="0" eb="2">
      <t>ジョシ</t>
    </rPh>
    <rPh sb="2" eb="3">
      <t>ダン</t>
    </rPh>
    <rPh sb="3" eb="4">
      <t>カラダ</t>
    </rPh>
    <rPh sb="4" eb="5">
      <t>イクサ</t>
    </rPh>
    <rPh sb="5" eb="6">
      <t>サル</t>
    </rPh>
    <rPh sb="6" eb="7">
      <t>コミ</t>
    </rPh>
    <rPh sb="7" eb="8">
      <t>ショ</t>
    </rPh>
    <phoneticPr fontId="2"/>
  </si>
  <si>
    <t>男子団体戦申込書</t>
    <rPh sb="0" eb="1">
      <t>オトコ</t>
    </rPh>
    <rPh sb="1" eb="2">
      <t>コ</t>
    </rPh>
    <rPh sb="2" eb="3">
      <t>ダン</t>
    </rPh>
    <rPh sb="3" eb="4">
      <t>カラダ</t>
    </rPh>
    <rPh sb="4" eb="5">
      <t>イクサ</t>
    </rPh>
    <rPh sb="5" eb="6">
      <t>サル</t>
    </rPh>
    <rPh sb="6" eb="7">
      <t>コミ</t>
    </rPh>
    <rPh sb="7" eb="8">
      <t>ショ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</si>
  <si>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</si>
  <si>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</si>
  <si>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男子個人</t>
    <rPh sb="0" eb="2">
      <t>ダンシ</t>
    </rPh>
    <rPh sb="2" eb="4">
      <t>コジン</t>
    </rPh>
    <phoneticPr fontId="2"/>
  </si>
  <si>
    <t>女子個人</t>
    <rPh sb="0" eb="2">
      <t>ジョシ</t>
    </rPh>
    <rPh sb="2" eb="4">
      <t>コジン</t>
    </rPh>
    <phoneticPr fontId="2"/>
  </si>
  <si>
    <t>監督</t>
    <rPh sb="0" eb="2">
      <t>カントク</t>
    </rPh>
    <phoneticPr fontId="2"/>
  </si>
  <si>
    <t>コーチ</t>
    <phoneticPr fontId="2"/>
  </si>
  <si>
    <t>コーチ区分</t>
    <rPh sb="3" eb="5">
      <t>クブン</t>
    </rPh>
    <phoneticPr fontId="2"/>
  </si>
  <si>
    <t>教職員</t>
    <rPh sb="0" eb="3">
      <t>キョウショクイン</t>
    </rPh>
    <phoneticPr fontId="2"/>
  </si>
  <si>
    <t>外部</t>
    <rPh sb="0" eb="2">
      <t>ガイブ</t>
    </rPh>
    <phoneticPr fontId="2"/>
  </si>
  <si>
    <t>次鋒</t>
    <rPh sb="0" eb="2">
      <t>ジホウ</t>
    </rPh>
    <phoneticPr fontId="2"/>
  </si>
  <si>
    <t>№</t>
    <phoneticPr fontId="2"/>
  </si>
  <si>
    <t>学校名１</t>
    <rPh sb="0" eb="2">
      <t>ガッコウ</t>
    </rPh>
    <rPh sb="2" eb="3">
      <t>メイ</t>
    </rPh>
    <phoneticPr fontId="2"/>
  </si>
  <si>
    <t>学校名２</t>
    <rPh sb="0" eb="2">
      <t>ガッコウ</t>
    </rPh>
    <rPh sb="2" eb="3">
      <t>メイ</t>
    </rPh>
    <phoneticPr fontId="2"/>
  </si>
  <si>
    <t>学校名３</t>
    <rPh sb="0" eb="2">
      <t>ガッコウ</t>
    </rPh>
    <rPh sb="2" eb="3">
      <t>メイ</t>
    </rPh>
    <phoneticPr fontId="2"/>
  </si>
  <si>
    <t>学校名４</t>
    <rPh sb="0" eb="2">
      <t>ガッコウ</t>
    </rPh>
    <rPh sb="2" eb="3">
      <t>メイ</t>
    </rPh>
    <phoneticPr fontId="2"/>
  </si>
  <si>
    <t>顧問名</t>
    <rPh sb="0" eb="2">
      <t>コモン</t>
    </rPh>
    <rPh sb="2" eb="3">
      <t>メイ</t>
    </rPh>
    <phoneticPr fontId="2"/>
  </si>
  <si>
    <t>審判</t>
    <rPh sb="0" eb="2">
      <t>シンパン</t>
    </rPh>
    <phoneticPr fontId="2"/>
  </si>
  <si>
    <t>副顧問名</t>
    <rPh sb="0" eb="3">
      <t>フクコモン</t>
    </rPh>
    <rPh sb="3" eb="4">
      <t>メイ</t>
    </rPh>
    <phoneticPr fontId="2"/>
  </si>
  <si>
    <t>学校長名</t>
    <rPh sb="0" eb="3">
      <t>ガッコウチョウ</t>
    </rPh>
    <rPh sb="3" eb="4">
      <t>メイ</t>
    </rPh>
    <phoneticPr fontId="7"/>
  </si>
  <si>
    <t>電話番号</t>
    <rPh sb="0" eb="2">
      <t>デンワ</t>
    </rPh>
    <rPh sb="2" eb="4">
      <t>バンゴウ</t>
    </rPh>
    <phoneticPr fontId="7"/>
  </si>
  <si>
    <t>FAX番号</t>
    <rPh sb="3" eb="5">
      <t>バンゴウ</t>
    </rPh>
    <phoneticPr fontId="7"/>
  </si>
  <si>
    <t>郵便番号</t>
    <rPh sb="0" eb="4">
      <t>ユウビンバンゴウ</t>
    </rPh>
    <phoneticPr fontId="7"/>
  </si>
  <si>
    <t>住所</t>
    <rPh sb="0" eb="2">
      <t>ジュウショ</t>
    </rPh>
    <phoneticPr fontId="7"/>
  </si>
  <si>
    <t>地区</t>
    <rPh sb="0" eb="2">
      <t>チク</t>
    </rPh>
    <phoneticPr fontId="7"/>
  </si>
  <si>
    <t>福島市立福島第三中学校</t>
  </si>
  <si>
    <t>福島第三中学校</t>
  </si>
  <si>
    <t>福島三中</t>
  </si>
  <si>
    <t>福島三</t>
  </si>
  <si>
    <t/>
  </si>
  <si>
    <t>024-534-3171</t>
  </si>
  <si>
    <t>024-536-7495</t>
  </si>
  <si>
    <t>960-8214</t>
  </si>
  <si>
    <t>福島市古川４４－２</t>
  </si>
  <si>
    <t>県北</t>
  </si>
  <si>
    <t>024-535-4240</t>
  </si>
  <si>
    <t>024-536-7497</t>
  </si>
  <si>
    <t>960-8013</t>
  </si>
  <si>
    <t>福島市立清水中学校</t>
  </si>
  <si>
    <t>清水中学校</t>
  </si>
  <si>
    <t>清水中</t>
  </si>
  <si>
    <t>清水</t>
  </si>
  <si>
    <t>024-559-0085</t>
  </si>
  <si>
    <t>024-558-6536</t>
  </si>
  <si>
    <t>960-8254</t>
  </si>
  <si>
    <t>福島市南沢又字清水端２３</t>
  </si>
  <si>
    <t>福島市立信陵中学校</t>
  </si>
  <si>
    <t>信陵中学校</t>
  </si>
  <si>
    <t>信陵中</t>
  </si>
  <si>
    <t>信陵</t>
  </si>
  <si>
    <t>○</t>
  </si>
  <si>
    <t>024-557-6018</t>
  </si>
  <si>
    <t>024-558-6568</t>
  </si>
  <si>
    <t>960-0241</t>
  </si>
  <si>
    <t>福島市笹谷字島原２</t>
  </si>
  <si>
    <t>福島市立北信中学校</t>
  </si>
  <si>
    <t>北信中学校</t>
  </si>
  <si>
    <t>北信中</t>
  </si>
  <si>
    <t>北信</t>
  </si>
  <si>
    <t>024-553-5049</t>
  </si>
  <si>
    <t>024-554-4718</t>
  </si>
  <si>
    <t>960-0102</t>
  </si>
  <si>
    <t>福島市鎌田字御仮家20</t>
  </si>
  <si>
    <t>024-597-2311</t>
  </si>
  <si>
    <t>024-597-2937</t>
  </si>
  <si>
    <t>960-1321</t>
  </si>
  <si>
    <t>福島市立大鳥中学校</t>
  </si>
  <si>
    <t>大鳥中学校</t>
  </si>
  <si>
    <t>大鳥中</t>
  </si>
  <si>
    <t>大鳥</t>
  </si>
  <si>
    <t>024-542-4284</t>
  </si>
  <si>
    <t>024-543-0637</t>
  </si>
  <si>
    <t>960-0201</t>
  </si>
  <si>
    <t>福島市飯坂町字舘11</t>
  </si>
  <si>
    <t>福島市立平野中学校</t>
  </si>
  <si>
    <t>平野中学校</t>
  </si>
  <si>
    <t>平野中</t>
  </si>
  <si>
    <t>平野</t>
  </si>
  <si>
    <t>024-542-3074</t>
  </si>
  <si>
    <t>024-543-0652</t>
  </si>
  <si>
    <t>960-0231</t>
  </si>
  <si>
    <t>福島市立松陵中学校</t>
  </si>
  <si>
    <t>松陵中学校</t>
  </si>
  <si>
    <t>松陵中</t>
  </si>
  <si>
    <t>松陵</t>
  </si>
  <si>
    <t>024-567-2040</t>
  </si>
  <si>
    <t>024-567-5208</t>
  </si>
  <si>
    <t>960-1241</t>
  </si>
  <si>
    <t>福島市松川町字上桜内3-4</t>
  </si>
  <si>
    <t>福島市立信夫中学校</t>
  </si>
  <si>
    <t>信夫中学校</t>
  </si>
  <si>
    <t>信夫中</t>
  </si>
  <si>
    <t>信夫</t>
  </si>
  <si>
    <t>024-546-7693</t>
  </si>
  <si>
    <t>024-539-5146</t>
  </si>
  <si>
    <t>960-1101</t>
  </si>
  <si>
    <t>福島市大森字南内町３１－１</t>
  </si>
  <si>
    <t>福島市立吾妻中学校</t>
  </si>
  <si>
    <t>024-591-1109</t>
  </si>
  <si>
    <t>024-591-5295</t>
  </si>
  <si>
    <t>960-2261</t>
  </si>
  <si>
    <t>福島市町庭坂字原田８</t>
  </si>
  <si>
    <t>福島市立飯野中学校</t>
  </si>
  <si>
    <t>飯野中学校</t>
  </si>
  <si>
    <t>飯野中</t>
  </si>
  <si>
    <t>飯野</t>
  </si>
  <si>
    <t>024-562-2325</t>
  </si>
  <si>
    <t>024-562-4058</t>
  </si>
  <si>
    <t>960-1301</t>
  </si>
  <si>
    <t>伊達郡飯野町大字飯野字西志保井1-1</t>
  </si>
  <si>
    <t>024-583-3025</t>
  </si>
  <si>
    <t>024-583-3115</t>
  </si>
  <si>
    <t>960-0502</t>
  </si>
  <si>
    <t>伊達市立梁川中学校</t>
  </si>
  <si>
    <t>梁川中学校</t>
  </si>
  <si>
    <t>梁川中</t>
  </si>
  <si>
    <t>梁川</t>
  </si>
  <si>
    <t>024-577-2161</t>
  </si>
  <si>
    <t>024-577-4972</t>
  </si>
  <si>
    <t>960-0733</t>
  </si>
  <si>
    <t>伊達市梁川町字菖蒲沢141-6</t>
  </si>
  <si>
    <t>伊達市立松陽中学校</t>
  </si>
  <si>
    <t>松陽中学校</t>
  </si>
  <si>
    <t>松陽中</t>
  </si>
  <si>
    <t>松陽</t>
  </si>
  <si>
    <t>024-575-3204</t>
  </si>
  <si>
    <t>024-575-3205</t>
  </si>
  <si>
    <t>960-0675</t>
  </si>
  <si>
    <t>伊達市保原町大柳字向山１</t>
  </si>
  <si>
    <t>伊達市立桃陵中学校</t>
  </si>
  <si>
    <t>桃陵中学校</t>
  </si>
  <si>
    <t>桃陵中</t>
  </si>
  <si>
    <t>桃陵</t>
  </si>
  <si>
    <t>024-576-6353</t>
  </si>
  <si>
    <t>024-576-6354</t>
  </si>
  <si>
    <t>960-0644</t>
  </si>
  <si>
    <t>伊達市保原町字豊田1-1</t>
  </si>
  <si>
    <t>伊達市立霊山中学校</t>
  </si>
  <si>
    <t>霊山中学校</t>
  </si>
  <si>
    <t>霊山中</t>
  </si>
  <si>
    <t>霊山</t>
  </si>
  <si>
    <t>024-586-1327</t>
  </si>
  <si>
    <t>024-586-1400</t>
  </si>
  <si>
    <t>960-0801</t>
  </si>
  <si>
    <t>伊達市霊山町掛田字下川原30</t>
  </si>
  <si>
    <t>桑折町立醸芳中学校</t>
  </si>
  <si>
    <t>醸芳中学校</t>
  </si>
  <si>
    <t>醸芳中</t>
  </si>
  <si>
    <t>醸芳</t>
  </si>
  <si>
    <t>024-582-3162</t>
  </si>
  <si>
    <t>024-582-3157</t>
  </si>
  <si>
    <t>969-1661</t>
  </si>
  <si>
    <t>伊達郡桑折町大字上郡字柳下５</t>
  </si>
  <si>
    <t>国見町立県北中学校</t>
  </si>
  <si>
    <t>県北中学校</t>
  </si>
  <si>
    <t>県北中</t>
  </si>
  <si>
    <t>024-585-2372</t>
  </si>
  <si>
    <t>024-585-4074</t>
  </si>
  <si>
    <t>969-1731</t>
  </si>
  <si>
    <t>伊達郡国見町大字森山字西上野20</t>
  </si>
  <si>
    <t>二本松市立二本松第一中学校</t>
  </si>
  <si>
    <t>二本松第一中学校</t>
  </si>
  <si>
    <t>二本松一中</t>
  </si>
  <si>
    <t>二本松一</t>
  </si>
  <si>
    <t>0243-23-0870</t>
  </si>
  <si>
    <t>0243-22-8977</t>
  </si>
  <si>
    <t>964-0904</t>
  </si>
  <si>
    <t>二本松市郭内2-56-1</t>
  </si>
  <si>
    <t>二本松市立二本松第三中学校</t>
  </si>
  <si>
    <t>二本松第三中学校</t>
  </si>
  <si>
    <t>二本松三中</t>
  </si>
  <si>
    <t>二本松三</t>
  </si>
  <si>
    <t>0243-22-8349</t>
  </si>
  <si>
    <t>0243-22-0707</t>
  </si>
  <si>
    <t>964-0884</t>
  </si>
  <si>
    <t>二本松市大作165</t>
  </si>
  <si>
    <t>二本松市立安達中学校</t>
  </si>
  <si>
    <t>安達中学校</t>
  </si>
  <si>
    <t>安達中</t>
  </si>
  <si>
    <t>安達</t>
  </si>
  <si>
    <t>0243-53-2104</t>
  </si>
  <si>
    <t>0243-53-2105</t>
  </si>
  <si>
    <t>969-1404</t>
  </si>
  <si>
    <t>二本松市油井字田向100</t>
  </si>
  <si>
    <t>大玉村立大玉中学校</t>
  </si>
  <si>
    <t>大玉中学校</t>
  </si>
  <si>
    <t>大玉中</t>
  </si>
  <si>
    <t>大玉</t>
  </si>
  <si>
    <t>0243-48-3300</t>
  </si>
  <si>
    <t>0243-48-2909</t>
  </si>
  <si>
    <t>969-1302</t>
  </si>
  <si>
    <t>本宮市立本宮第一中学校</t>
  </si>
  <si>
    <t>本宮第一中学校</t>
  </si>
  <si>
    <t>本宮一中</t>
  </si>
  <si>
    <t>本宮一</t>
  </si>
  <si>
    <t>0243-33-2249</t>
  </si>
  <si>
    <t>0243-33-2251</t>
  </si>
  <si>
    <t>969-1155</t>
  </si>
  <si>
    <t>本宮市本宮字懸鉄15</t>
  </si>
  <si>
    <t>本宮市立白沢中学校</t>
  </si>
  <si>
    <t>白沢中学校</t>
  </si>
  <si>
    <t>白沢中</t>
  </si>
  <si>
    <t>白沢</t>
  </si>
  <si>
    <t>0443-44-2009</t>
  </si>
  <si>
    <t>0243-44-4614</t>
  </si>
  <si>
    <t>969-1203</t>
  </si>
  <si>
    <t>郡山市立行健中学校</t>
  </si>
  <si>
    <t>行健中学校</t>
  </si>
  <si>
    <t>行健中</t>
  </si>
  <si>
    <t>行健</t>
  </si>
  <si>
    <t>024-932-1815</t>
  </si>
  <si>
    <t>024-932-1840</t>
  </si>
  <si>
    <t>963-8071</t>
  </si>
  <si>
    <t>郡山市富久山町久保田字大原１６</t>
  </si>
  <si>
    <t>郡山市立安積中学校</t>
  </si>
  <si>
    <t>安積中学校</t>
  </si>
  <si>
    <t>安積中</t>
  </si>
  <si>
    <t>安積</t>
  </si>
  <si>
    <t>024-945-1489</t>
  </si>
  <si>
    <t>024-946-2733</t>
  </si>
  <si>
    <t>963-0106</t>
  </si>
  <si>
    <t>郡山市成山町１</t>
  </si>
  <si>
    <t>郡山市立守山中学校</t>
  </si>
  <si>
    <t>守山中学校</t>
  </si>
  <si>
    <t>守山中</t>
  </si>
  <si>
    <t>守山</t>
  </si>
  <si>
    <t>024-955-3108</t>
  </si>
  <si>
    <t>024-955-3132</t>
  </si>
  <si>
    <t>963-0724</t>
  </si>
  <si>
    <t>郡山市田村町山中字団子田177-2</t>
  </si>
  <si>
    <t>郡山市立郡山第一中学校</t>
  </si>
  <si>
    <t>郡山第一中学校</t>
  </si>
  <si>
    <t>郡山一中</t>
  </si>
  <si>
    <t>郡山一</t>
  </si>
  <si>
    <t>024-932-5312</t>
  </si>
  <si>
    <t>963-8862</t>
  </si>
  <si>
    <t>郡山市菜根二丁目1-31</t>
  </si>
  <si>
    <t>024-932-5316</t>
  </si>
  <si>
    <t>024-932-5317</t>
  </si>
  <si>
    <t>福島県郡山市菜根3-1-13 </t>
  </si>
  <si>
    <t>郡山市立郡山第四中学校</t>
  </si>
  <si>
    <t>郡山第四中学校</t>
  </si>
  <si>
    <t>郡山四中</t>
  </si>
  <si>
    <t>郡山四</t>
  </si>
  <si>
    <t>024-944-1692</t>
  </si>
  <si>
    <t>024-944-3610</t>
  </si>
  <si>
    <t>963-8803</t>
  </si>
  <si>
    <t>郡山市横塚六丁目25-31</t>
  </si>
  <si>
    <t>郡山市立郡山第六中学校</t>
  </si>
  <si>
    <t>郡山第六中学校</t>
  </si>
  <si>
    <t>郡山六中</t>
  </si>
  <si>
    <t>郡山六</t>
  </si>
  <si>
    <t>024-951-0264</t>
  </si>
  <si>
    <t>024-951-6424</t>
  </si>
  <si>
    <t>963-8041</t>
  </si>
  <si>
    <t>郡山市富田町字十文字２</t>
  </si>
  <si>
    <t>郡山市立郡山第七中学校</t>
  </si>
  <si>
    <t>郡山第七中学校</t>
  </si>
  <si>
    <t>郡山七中</t>
  </si>
  <si>
    <t>郡山七</t>
  </si>
  <si>
    <t>024-951-8200</t>
  </si>
  <si>
    <t>024-951-1884</t>
  </si>
  <si>
    <t>963-0201</t>
  </si>
  <si>
    <t>郡山市大槻町字原田西４</t>
  </si>
  <si>
    <t>郡山市立小原田中学校</t>
  </si>
  <si>
    <t>小原田中学校</t>
  </si>
  <si>
    <t>小原田中</t>
  </si>
  <si>
    <t>小原田</t>
  </si>
  <si>
    <t>024-944-5225</t>
  </si>
  <si>
    <t>024-944-3414</t>
  </si>
  <si>
    <t>963-8835</t>
  </si>
  <si>
    <t>郡山市小原田三丁目２０－４１</t>
  </si>
  <si>
    <t>須賀川市立第一中学校</t>
  </si>
  <si>
    <t>須賀川第一中学校</t>
  </si>
  <si>
    <t>須賀川一中</t>
  </si>
  <si>
    <t>須賀川一</t>
  </si>
  <si>
    <t>0248-73-3535</t>
  </si>
  <si>
    <t>0248-73-1137</t>
  </si>
  <si>
    <t>962-0024</t>
  </si>
  <si>
    <t>須賀川市稲荷町130</t>
  </si>
  <si>
    <t>須賀川市立第二中学校</t>
  </si>
  <si>
    <t>須賀川第二中学校</t>
  </si>
  <si>
    <t>須賀川二中</t>
  </si>
  <si>
    <t>須賀川二</t>
  </si>
  <si>
    <t>0248-75-2910</t>
  </si>
  <si>
    <t>0248-75-2918</t>
  </si>
  <si>
    <t>962-0003</t>
  </si>
  <si>
    <t>須賀川市岩瀬森46</t>
  </si>
  <si>
    <t>須賀川市立第三中学校</t>
  </si>
  <si>
    <t>須賀川第三中学校</t>
  </si>
  <si>
    <t>須賀川三中</t>
  </si>
  <si>
    <t>須賀川三</t>
  </si>
  <si>
    <t>0248-73-2377</t>
  </si>
  <si>
    <t>0248-76-2141</t>
  </si>
  <si>
    <t>962-0816</t>
  </si>
  <si>
    <t>須賀川市朝日田54</t>
  </si>
  <si>
    <t>須賀川市立仁井田中学校</t>
  </si>
  <si>
    <t>仁井田中学校</t>
  </si>
  <si>
    <t>仁井田中</t>
  </si>
  <si>
    <t>仁井田</t>
  </si>
  <si>
    <t>0248-78-2030</t>
  </si>
  <si>
    <t>0248-78-2035</t>
  </si>
  <si>
    <t>962-0402</t>
  </si>
  <si>
    <t>須賀川市仁井田字北明石田30</t>
  </si>
  <si>
    <t>須賀川市立長沼中学校</t>
  </si>
  <si>
    <t>長沼中学校</t>
  </si>
  <si>
    <t>長沼中</t>
  </si>
  <si>
    <t>長沼</t>
  </si>
  <si>
    <t>0248-67-3155</t>
  </si>
  <si>
    <t>0248-67-3199</t>
  </si>
  <si>
    <t>962-0201</t>
  </si>
  <si>
    <t>須賀川市立岩瀬中学校</t>
  </si>
  <si>
    <t>岩瀬中学校</t>
  </si>
  <si>
    <t>岩瀬中</t>
  </si>
  <si>
    <t>岩瀬</t>
  </si>
  <si>
    <t>0248-65-3181</t>
  </si>
  <si>
    <t>0248-65-3407</t>
  </si>
  <si>
    <t>962-0302</t>
  </si>
  <si>
    <t>須賀川市柱田字南谷地前42</t>
  </si>
  <si>
    <t>天栄村立天栄中学校</t>
  </si>
  <si>
    <t>天栄中学校</t>
  </si>
  <si>
    <t>天栄中</t>
  </si>
  <si>
    <t>天栄</t>
  </si>
  <si>
    <t>0248-83-2222</t>
  </si>
  <si>
    <t>0248-83-2229</t>
  </si>
  <si>
    <t>962-0111</t>
  </si>
  <si>
    <t>田村市立都路中学校</t>
  </si>
  <si>
    <t>都路中学校</t>
  </si>
  <si>
    <t>都路中</t>
  </si>
  <si>
    <t>都路</t>
  </si>
  <si>
    <t>0247-77-2333</t>
  </si>
  <si>
    <t>0247-77-2355</t>
  </si>
  <si>
    <t>963-4602</t>
  </si>
  <si>
    <t>田村市常葉町常葉字上野１７５</t>
  </si>
  <si>
    <t>田村市立船引中学校</t>
  </si>
  <si>
    <t>船引中学校</t>
  </si>
  <si>
    <t>船引中</t>
  </si>
  <si>
    <t>船引</t>
  </si>
  <si>
    <t>0247-82-0102</t>
  </si>
  <si>
    <t>0247-82-1888</t>
  </si>
  <si>
    <t>963-4317</t>
  </si>
  <si>
    <t>田村市船引町東部台二丁目１</t>
  </si>
  <si>
    <t>小野町立小野中学校</t>
  </si>
  <si>
    <t>小野中学校</t>
  </si>
  <si>
    <t>小野中</t>
  </si>
  <si>
    <t>小野</t>
  </si>
  <si>
    <t>0247-72-3355</t>
  </si>
  <si>
    <t>0247-72-2829</t>
  </si>
  <si>
    <t>963-3402</t>
  </si>
  <si>
    <t>田村郡小野町大字谷津作字和久59</t>
  </si>
  <si>
    <t>白河市立白河中央中学校</t>
  </si>
  <si>
    <t>白河中央中学校</t>
  </si>
  <si>
    <t>白河中央中</t>
  </si>
  <si>
    <t>白河中央</t>
  </si>
  <si>
    <t>0248-23-3247</t>
  </si>
  <si>
    <t>0248-23-4025</t>
  </si>
  <si>
    <t>961-0901</t>
  </si>
  <si>
    <t>白河市字明戸72-5</t>
  </si>
  <si>
    <t>白河市立白河第二中学校</t>
  </si>
  <si>
    <t>白河第二中学校</t>
  </si>
  <si>
    <t>白河二中</t>
  </si>
  <si>
    <t>白河二</t>
  </si>
  <si>
    <t>0248-23-3248</t>
  </si>
  <si>
    <t>0248-22-3150</t>
  </si>
  <si>
    <t>961-0985</t>
  </si>
  <si>
    <t>白河市和尚壇2-1</t>
  </si>
  <si>
    <t>西郷村立西郷第一中学校</t>
  </si>
  <si>
    <t>西郷第一中学校</t>
  </si>
  <si>
    <t>西郷一中</t>
  </si>
  <si>
    <t>西郷一</t>
  </si>
  <si>
    <t>0248-25-2135</t>
  </si>
  <si>
    <t>0248-48-1035</t>
  </si>
  <si>
    <t>961-8091</t>
  </si>
  <si>
    <t>西白河郡西郷村大字熊倉字火打山５</t>
  </si>
  <si>
    <t>西郷村立西郷第二中学校</t>
  </si>
  <si>
    <t>西郷第二中学校</t>
  </si>
  <si>
    <t>西郷二中</t>
  </si>
  <si>
    <t>西郷二</t>
  </si>
  <si>
    <t>0248-25-2050</t>
  </si>
  <si>
    <t>0248-48-1036</t>
  </si>
  <si>
    <t>961-8061</t>
  </si>
  <si>
    <t>西白河郡西郷村大字小田倉字上野原459-1</t>
  </si>
  <si>
    <t>矢吹町立矢吹中学校</t>
  </si>
  <si>
    <t>矢吹中学校</t>
  </si>
  <si>
    <t>矢吹中</t>
  </si>
  <si>
    <t>矢吹</t>
  </si>
  <si>
    <t>0248-42-2201</t>
  </si>
  <si>
    <t>0248-44-3366</t>
  </si>
  <si>
    <t>969-0223</t>
  </si>
  <si>
    <t>西白河郡矢吹町文京町118</t>
  </si>
  <si>
    <t>棚倉町立棚倉中学校</t>
  </si>
  <si>
    <t>棚倉中学校</t>
  </si>
  <si>
    <t>棚倉中</t>
  </si>
  <si>
    <t>棚倉</t>
  </si>
  <si>
    <t>0247-33-3176</t>
  </si>
  <si>
    <t>0247-33-2224</t>
  </si>
  <si>
    <t>963-6131</t>
  </si>
  <si>
    <t>東白川郡棚倉町大字棚倉城跡88-5</t>
  </si>
  <si>
    <t>塙町立塙中学校</t>
  </si>
  <si>
    <t>塙中学校</t>
  </si>
  <si>
    <t>塙中</t>
  </si>
  <si>
    <t>塙</t>
  </si>
  <si>
    <t>0247-43-0287</t>
  </si>
  <si>
    <t>0247-43-0264</t>
  </si>
  <si>
    <t>963-5404</t>
  </si>
  <si>
    <t>東白川郡塙町大字竹之内字草田３</t>
  </si>
  <si>
    <t>石川町立石川中学校</t>
  </si>
  <si>
    <t>石川中学校</t>
  </si>
  <si>
    <t>石川中</t>
  </si>
  <si>
    <t>石川</t>
  </si>
  <si>
    <t>0247-26-2315</t>
  </si>
  <si>
    <t>0247-26-3036</t>
  </si>
  <si>
    <t>963-7808</t>
  </si>
  <si>
    <t>石川郡石川町大字双里字川向165</t>
  </si>
  <si>
    <t>玉川村立泉中学校</t>
  </si>
  <si>
    <t>泉中学校</t>
  </si>
  <si>
    <t>泉中</t>
  </si>
  <si>
    <t>泉</t>
  </si>
  <si>
    <t>0247-57-2029</t>
  </si>
  <si>
    <t>0247-57-4124</t>
  </si>
  <si>
    <t>963-6315</t>
  </si>
  <si>
    <t>古殿町立古殿中学校</t>
  </si>
  <si>
    <t>古殿中学校</t>
  </si>
  <si>
    <t>古殿中</t>
  </si>
  <si>
    <t>古殿</t>
  </si>
  <si>
    <t>0247-53-3135</t>
  </si>
  <si>
    <t>0247-53-3136</t>
  </si>
  <si>
    <t>963-8304</t>
  </si>
  <si>
    <t>石川郡古殿町大字松川字横川462</t>
  </si>
  <si>
    <t>会津若松市立第一中学校</t>
  </si>
  <si>
    <t>若松第一中学校</t>
  </si>
  <si>
    <t>若松一中</t>
  </si>
  <si>
    <t>若松一</t>
  </si>
  <si>
    <t>0242-24-2277</t>
  </si>
  <si>
    <t>0242-32-6401</t>
  </si>
  <si>
    <t>965-0023</t>
  </si>
  <si>
    <t>会津若松市蚕養町11-1</t>
  </si>
  <si>
    <t>会津若松市立第二中学校</t>
  </si>
  <si>
    <t>若松第二中学校</t>
  </si>
  <si>
    <t>若松二中</t>
  </si>
  <si>
    <t>若松二</t>
  </si>
  <si>
    <t>0242-27-0715</t>
  </si>
  <si>
    <t>0242-29-3400</t>
  </si>
  <si>
    <t>965-0803</t>
  </si>
  <si>
    <t>会津若松市城前1-7</t>
  </si>
  <si>
    <t>会津若松市立第三中学校</t>
  </si>
  <si>
    <t>若松第三中学校</t>
  </si>
  <si>
    <t>若松三中</t>
  </si>
  <si>
    <t>若松三</t>
  </si>
  <si>
    <t>0242-27-0994</t>
  </si>
  <si>
    <t>0242-29-3401</t>
  </si>
  <si>
    <t>965-0863</t>
  </si>
  <si>
    <t>会津若松市湯川町4-20</t>
  </si>
  <si>
    <t>会津若松市立第四中学校</t>
  </si>
  <si>
    <t>若松第四中学校</t>
  </si>
  <si>
    <t>若松四中</t>
  </si>
  <si>
    <t>若松四</t>
  </si>
  <si>
    <t>0242-27-1051</t>
  </si>
  <si>
    <t>0242-29-3402</t>
  </si>
  <si>
    <t>965-0854</t>
  </si>
  <si>
    <t>会津若松市桜町110</t>
  </si>
  <si>
    <t>会津若松市立第五中学校</t>
  </si>
  <si>
    <t>若松第五中学校</t>
  </si>
  <si>
    <t>若松五中</t>
  </si>
  <si>
    <t>若松五</t>
  </si>
  <si>
    <t>0242-27-1781</t>
  </si>
  <si>
    <t>0242-29-3410</t>
  </si>
  <si>
    <t>965-0826</t>
  </si>
  <si>
    <t>会津若松市門田町大字御山字村下314</t>
  </si>
  <si>
    <t>会津若松市立第六中学校</t>
  </si>
  <si>
    <t>若松第六中学校</t>
  </si>
  <si>
    <t>若松六中</t>
  </si>
  <si>
    <t>若松六</t>
  </si>
  <si>
    <t>0242-22-5153</t>
  </si>
  <si>
    <t>0242-32-6402</t>
  </si>
  <si>
    <t>965-0064</t>
  </si>
  <si>
    <t>会津若松市立一箕中学校</t>
  </si>
  <si>
    <t>一箕中学校</t>
  </si>
  <si>
    <t>一箕中</t>
  </si>
  <si>
    <t>一箕</t>
  </si>
  <si>
    <t>0242-22-2113</t>
  </si>
  <si>
    <t>0242-32-6403</t>
  </si>
  <si>
    <t>965-0003</t>
  </si>
  <si>
    <t>会津若松市一箕町大字八幡字堰下70</t>
  </si>
  <si>
    <t>会津若松市立北会津中学校</t>
  </si>
  <si>
    <t>北会津中学校</t>
  </si>
  <si>
    <t>北会津中</t>
  </si>
  <si>
    <t>北会津</t>
  </si>
  <si>
    <t>0242-58-3322</t>
  </si>
  <si>
    <t>0242-58-0035</t>
  </si>
  <si>
    <t>965-0131</t>
  </si>
  <si>
    <t>会津若松市北会津町中荒井2107-1</t>
  </si>
  <si>
    <t>会津若松市立河東中学校</t>
  </si>
  <si>
    <t>河東中学校</t>
  </si>
  <si>
    <t>河東中</t>
  </si>
  <si>
    <t>河東</t>
  </si>
  <si>
    <t>0242-75-3011</t>
  </si>
  <si>
    <t>0242-75-3012</t>
  </si>
  <si>
    <t>969-3471</t>
  </si>
  <si>
    <t>0242-73-3116</t>
  </si>
  <si>
    <t>0242-74-1020</t>
  </si>
  <si>
    <t>969-3301</t>
  </si>
  <si>
    <t>猪苗代町立猪苗代中学校</t>
  </si>
  <si>
    <t>猪苗代中学校</t>
  </si>
  <si>
    <t>猪苗代中</t>
  </si>
  <si>
    <t>猪苗代</t>
  </si>
  <si>
    <t>0242-62-3312</t>
  </si>
  <si>
    <t>0242-62-3392</t>
  </si>
  <si>
    <t>969-3133</t>
  </si>
  <si>
    <t>猪苗代町大字千代田字中島５番地の１</t>
  </si>
  <si>
    <t>猪苗代町立吾妻中学校</t>
  </si>
  <si>
    <t>吾妻中学校</t>
  </si>
  <si>
    <t>吾妻中</t>
  </si>
  <si>
    <t>吾妻</t>
  </si>
  <si>
    <t>0242-64-2022</t>
  </si>
  <si>
    <t>0242-64-2034</t>
  </si>
  <si>
    <t>969-2752</t>
  </si>
  <si>
    <t>耶麻郡猪苗代町大字蚕養字下平乙613-53</t>
  </si>
  <si>
    <t>喜多方市立第一中学校</t>
  </si>
  <si>
    <t>喜多方第一中学校</t>
  </si>
  <si>
    <t>喜多方一中</t>
  </si>
  <si>
    <t>喜多方一</t>
  </si>
  <si>
    <t>0241-22-0274</t>
  </si>
  <si>
    <t>0241-23-1643</t>
  </si>
  <si>
    <t>966-0834</t>
  </si>
  <si>
    <t>喜多方市字谷地田上7573</t>
  </si>
  <si>
    <t>喜多方市立第三中学校</t>
  </si>
  <si>
    <t>喜多方第三中学校</t>
  </si>
  <si>
    <t>喜多方三中</t>
  </si>
  <si>
    <t>喜多方三</t>
  </si>
  <si>
    <t>0241-22-5121</t>
  </si>
  <si>
    <t>0241-23-1664</t>
  </si>
  <si>
    <t>966-0045</t>
  </si>
  <si>
    <t>喜多方市字南原3475</t>
  </si>
  <si>
    <t>大熊町立大熊中学校</t>
  </si>
  <si>
    <t>大熊中学校</t>
  </si>
  <si>
    <t>大熊中</t>
  </si>
  <si>
    <t>大熊</t>
  </si>
  <si>
    <t>0242-26-4230</t>
  </si>
  <si>
    <t>0242-26-4232</t>
  </si>
  <si>
    <t>965-0873</t>
  </si>
  <si>
    <t>河沼郡会津坂下町立坂下中学校</t>
  </si>
  <si>
    <t>坂下中学校</t>
  </si>
  <si>
    <t>坂下中</t>
  </si>
  <si>
    <t>坂下</t>
  </si>
  <si>
    <t>0242-83-2356</t>
  </si>
  <si>
    <t>0242-83-1008</t>
  </si>
  <si>
    <t>会津坂下町字惣六８３</t>
  </si>
  <si>
    <t>会津美里町立高田中学校</t>
  </si>
  <si>
    <t>高田中学校</t>
  </si>
  <si>
    <t>高田中</t>
  </si>
  <si>
    <t>高田</t>
  </si>
  <si>
    <t>0242-54-2352</t>
  </si>
  <si>
    <t>0242-54-2373</t>
  </si>
  <si>
    <t>969-6266</t>
  </si>
  <si>
    <t>大沼郡会津美里町字布才地５７０</t>
  </si>
  <si>
    <t>会津美里町立新鶴中学校</t>
  </si>
  <si>
    <t>新鶴中学校</t>
  </si>
  <si>
    <t>新鶴中</t>
  </si>
  <si>
    <t>新鶴</t>
  </si>
  <si>
    <t>0242-78-2006</t>
  </si>
  <si>
    <t>0242-78-3282</t>
  </si>
  <si>
    <t>969-6403</t>
  </si>
  <si>
    <t>大沼郡会津美里町鶴野辺字北三百苅830</t>
  </si>
  <si>
    <t>南会津町立田島中学校</t>
  </si>
  <si>
    <t>田島中学校</t>
  </si>
  <si>
    <t>田島中</t>
  </si>
  <si>
    <t>田島</t>
  </si>
  <si>
    <t>0241-62-1283</t>
  </si>
  <si>
    <t>0241-62-0149</t>
  </si>
  <si>
    <t>967-0004</t>
  </si>
  <si>
    <t>南会津郡南会津町田島字後原甲3437</t>
  </si>
  <si>
    <t>南会津町立荒海中学校</t>
  </si>
  <si>
    <t>荒海中学校</t>
  </si>
  <si>
    <t>荒海中</t>
  </si>
  <si>
    <t>荒海</t>
  </si>
  <si>
    <t>0241-66-2321</t>
  </si>
  <si>
    <t>0241-66-2581</t>
  </si>
  <si>
    <t>967-0014</t>
  </si>
  <si>
    <t>南会津郡南会津町糸沢字馬場原446-15</t>
  </si>
  <si>
    <t>下郷町立下郷中学校</t>
  </si>
  <si>
    <t>下郷中学校</t>
  </si>
  <si>
    <t>下郷中</t>
  </si>
  <si>
    <t>下郷</t>
  </si>
  <si>
    <t>0241-67-2126</t>
  </si>
  <si>
    <t>0241-67-2119</t>
  </si>
  <si>
    <t>969-5332</t>
  </si>
  <si>
    <t>南会津郡下郷町大字中妻字大百刈５</t>
  </si>
  <si>
    <t>新地町立尚英中学校</t>
  </si>
  <si>
    <t>尚英中学校</t>
  </si>
  <si>
    <t>尚英中</t>
  </si>
  <si>
    <t>尚英</t>
  </si>
  <si>
    <t>0244-62-2052</t>
  </si>
  <si>
    <t>0244-63-2138</t>
  </si>
  <si>
    <t>979-2702</t>
  </si>
  <si>
    <t>相馬郡新地町谷地小屋字愛宕38</t>
  </si>
  <si>
    <t>相馬市立中村第二中学校</t>
  </si>
  <si>
    <t>中村第二中学校</t>
  </si>
  <si>
    <t>中村二中</t>
  </si>
  <si>
    <t>中村二</t>
  </si>
  <si>
    <t>0244-38-7101</t>
  </si>
  <si>
    <t>0244-38-7102</t>
  </si>
  <si>
    <t>976-0023</t>
  </si>
  <si>
    <t>相馬市和田字北迫185-13</t>
  </si>
  <si>
    <t>相馬市立向陽中学校</t>
  </si>
  <si>
    <t>向陽中学校</t>
  </si>
  <si>
    <t>向陽中</t>
  </si>
  <si>
    <t>向陽</t>
  </si>
  <si>
    <t>0244-35-2348</t>
  </si>
  <si>
    <t>0244-35-2849</t>
  </si>
  <si>
    <t>976-0037</t>
  </si>
  <si>
    <t>相馬市中野字桜町76</t>
  </si>
  <si>
    <t>南相馬市立原町第一中学校</t>
  </si>
  <si>
    <t>原町第一中学校</t>
  </si>
  <si>
    <t>原町一中</t>
  </si>
  <si>
    <t>原町一</t>
  </si>
  <si>
    <t>0244-22-4144</t>
  </si>
  <si>
    <t>0244-24-2039</t>
  </si>
  <si>
    <t>975-0007</t>
  </si>
  <si>
    <t>南相馬市原町区南町三丁目23</t>
  </si>
  <si>
    <t>南相馬市立原町第三中学校</t>
  </si>
  <si>
    <t>原町第三中学校</t>
  </si>
  <si>
    <t>原町三中</t>
  </si>
  <si>
    <t>原町三</t>
  </si>
  <si>
    <t>0244-22-3802</t>
  </si>
  <si>
    <t>0244-24-2287</t>
  </si>
  <si>
    <t>975-0041</t>
  </si>
  <si>
    <t>南相馬市原町区下太田字川内前12-2</t>
  </si>
  <si>
    <t>南相馬市立鹿島中学校</t>
  </si>
  <si>
    <t>鹿島中学校</t>
  </si>
  <si>
    <t>鹿島中</t>
  </si>
  <si>
    <t>鹿島</t>
  </si>
  <si>
    <t>0244-46-2019</t>
  </si>
  <si>
    <t>0244-46-2229</t>
  </si>
  <si>
    <t>979-2333</t>
  </si>
  <si>
    <t>南相馬市鹿島区寺内字落合28</t>
  </si>
  <si>
    <t>南相馬市立小高中学校</t>
  </si>
  <si>
    <t>小高中学校</t>
  </si>
  <si>
    <t>小高中</t>
  </si>
  <si>
    <t>小高</t>
  </si>
  <si>
    <t>0244-44-2023</t>
  </si>
  <si>
    <t>0244-66-2121</t>
  </si>
  <si>
    <t>979-2157</t>
  </si>
  <si>
    <t>浪江町立浪江中学校</t>
  </si>
  <si>
    <t>浪江中学校</t>
  </si>
  <si>
    <t>浪江中</t>
  </si>
  <si>
    <t>浪江</t>
  </si>
  <si>
    <t>0240-35-3206</t>
  </si>
  <si>
    <t>0240-35-1167</t>
  </si>
  <si>
    <t>979-1531</t>
  </si>
  <si>
    <t>双葉町立双葉中学校</t>
  </si>
  <si>
    <t>双葉中学校</t>
  </si>
  <si>
    <t>双葉中</t>
  </si>
  <si>
    <t>双葉</t>
  </si>
  <si>
    <t>0240-33-2024</t>
  </si>
  <si>
    <t>0240-33-5313</t>
  </si>
  <si>
    <t>979-1472</t>
  </si>
  <si>
    <t>富岡町立富岡第一中学校</t>
  </si>
  <si>
    <t>富岡第一中学校</t>
  </si>
  <si>
    <t>富岡一中</t>
  </si>
  <si>
    <t>富岡一</t>
  </si>
  <si>
    <t>0240-22-2020</t>
  </si>
  <si>
    <t>0240-22-8647</t>
  </si>
  <si>
    <t>979-1111</t>
  </si>
  <si>
    <t>富岡町立富岡第二中学校</t>
  </si>
  <si>
    <t>富岡第二中学校</t>
  </si>
  <si>
    <t>富岡二</t>
  </si>
  <si>
    <t>0240-22-3331</t>
  </si>
  <si>
    <t>0240-22-8648</t>
  </si>
  <si>
    <t>979-1161</t>
  </si>
  <si>
    <t>いわき市立平第一中学校</t>
  </si>
  <si>
    <t>平第一中学校</t>
  </si>
  <si>
    <t>平一中</t>
  </si>
  <si>
    <t>平一</t>
  </si>
  <si>
    <t>0246-23-1744</t>
  </si>
  <si>
    <t>0246-21-4361</t>
  </si>
  <si>
    <t>970-8026</t>
  </si>
  <si>
    <t>いわき市平字揚土１</t>
  </si>
  <si>
    <t>いわき市立平第三中学校</t>
  </si>
  <si>
    <t>平第三中学校</t>
  </si>
  <si>
    <t>平三中</t>
  </si>
  <si>
    <t>平三</t>
  </si>
  <si>
    <t>0246-25-2579</t>
  </si>
  <si>
    <t>0246-25-2591</t>
  </si>
  <si>
    <t>970-8036</t>
  </si>
  <si>
    <t>いわき市平谷川瀬字吉野作５６</t>
  </si>
  <si>
    <t>いわき市立四倉中学校</t>
  </si>
  <si>
    <t>四倉中学校</t>
  </si>
  <si>
    <t>四倉中</t>
  </si>
  <si>
    <t>四倉</t>
  </si>
  <si>
    <t>0246-32-2710</t>
  </si>
  <si>
    <t>979-0201</t>
  </si>
  <si>
    <t>いわき市四倉町東一丁目６５</t>
  </si>
  <si>
    <t>いわき市立内郷第一中学校</t>
  </si>
  <si>
    <t>内郷第一中学校</t>
  </si>
  <si>
    <t>内郷一中</t>
  </si>
  <si>
    <t>内郷一</t>
  </si>
  <si>
    <t>髙木　清美</t>
  </si>
  <si>
    <t>0246-26-3726</t>
  </si>
  <si>
    <t>0246-26-3728</t>
  </si>
  <si>
    <t>973-8408</t>
  </si>
  <si>
    <t>いわき市内郷高坂町立野１２９</t>
  </si>
  <si>
    <t>いわき市立好間中学校</t>
  </si>
  <si>
    <t>好間中学校</t>
  </si>
  <si>
    <t>好間中</t>
  </si>
  <si>
    <t>好間</t>
  </si>
  <si>
    <t>0246-36-2204</t>
  </si>
  <si>
    <t>0246-36-2338</t>
  </si>
  <si>
    <t>970-1143</t>
  </si>
  <si>
    <t>いわき市好間町小谷作字竹の内１</t>
  </si>
  <si>
    <t>いわき市立小名浜第一中学校</t>
  </si>
  <si>
    <t>小名浜第一中学校</t>
  </si>
  <si>
    <t>小名浜一中</t>
  </si>
  <si>
    <t>小名浜一</t>
  </si>
  <si>
    <t>0246-54-3636</t>
  </si>
  <si>
    <t>0246-54-3653</t>
  </si>
  <si>
    <t>971-8151</t>
  </si>
  <si>
    <t>いわき市小名浜岡小名山田作１５</t>
  </si>
  <si>
    <t>いわき市立小名浜第二中学校</t>
  </si>
  <si>
    <t>小名浜第二中学校</t>
  </si>
  <si>
    <t>小名浜二中</t>
  </si>
  <si>
    <t>小名浜二</t>
  </si>
  <si>
    <t>0246-54-7455</t>
  </si>
  <si>
    <t>0246-54-7456</t>
  </si>
  <si>
    <t>いわき市小名浜岡小名字池袋１１</t>
  </si>
  <si>
    <t>いわき市立江名中学校</t>
  </si>
  <si>
    <t>江名中学校</t>
  </si>
  <si>
    <t>江名中</t>
  </si>
  <si>
    <t>江名</t>
  </si>
  <si>
    <t>0246-55-7043</t>
  </si>
  <si>
    <t>0246-55-7540</t>
  </si>
  <si>
    <t>970-0315</t>
  </si>
  <si>
    <t>いわき市永崎字館１</t>
  </si>
  <si>
    <t>いわき市立泉中学校</t>
  </si>
  <si>
    <t>いわき泉中学校</t>
  </si>
  <si>
    <t>いわき泉中</t>
  </si>
  <si>
    <t>いわき泉</t>
  </si>
  <si>
    <t>0246-56-6043</t>
  </si>
  <si>
    <t>0246-56-6015</t>
  </si>
  <si>
    <t>971-8186</t>
  </si>
  <si>
    <t>いわき市泉町玉露字吉野作１９</t>
  </si>
  <si>
    <t>いわき市立湯本第一中学校</t>
  </si>
  <si>
    <t>湯本第一中学校</t>
  </si>
  <si>
    <t>湯本一中</t>
  </si>
  <si>
    <t>湯本一</t>
  </si>
  <si>
    <t>0246-42-4158</t>
  </si>
  <si>
    <t>0246-42-4159</t>
  </si>
  <si>
    <t>972-8321</t>
  </si>
  <si>
    <t>いわき市常磐湯本町吹谷１１</t>
  </si>
  <si>
    <t>いわき市立湯本第二中学校</t>
  </si>
  <si>
    <t>湯本第二中学校</t>
  </si>
  <si>
    <t>湯本二中</t>
  </si>
  <si>
    <t>湯本二</t>
  </si>
  <si>
    <t>0246-42-2376</t>
  </si>
  <si>
    <t>0246-42-2416</t>
  </si>
  <si>
    <t>いわき市常磐湯本町上浅貝１０</t>
  </si>
  <si>
    <t>いわき市立磐崎中学校</t>
  </si>
  <si>
    <t>磐崎中学校</t>
  </si>
  <si>
    <t>磐崎中</t>
  </si>
  <si>
    <t>磐崎</t>
  </si>
  <si>
    <t>0246-42-2978</t>
  </si>
  <si>
    <t>0246-42-2957</t>
  </si>
  <si>
    <t>972-8317</t>
  </si>
  <si>
    <t>いわき市常磐下湯長谷町家中跡２５</t>
  </si>
  <si>
    <t>いわき市立植田中学校</t>
  </si>
  <si>
    <t>植田中学校</t>
  </si>
  <si>
    <t>植田中</t>
  </si>
  <si>
    <t>植田</t>
  </si>
  <si>
    <t>0246-62-3521</t>
  </si>
  <si>
    <t>0246-62-3523</t>
  </si>
  <si>
    <t>974-8261</t>
  </si>
  <si>
    <t>いわき市植田町根小屋２５－１</t>
  </si>
  <si>
    <t>いわき市立錦中学校</t>
  </si>
  <si>
    <t>錦中学校</t>
  </si>
  <si>
    <t>錦中</t>
  </si>
  <si>
    <t>錦</t>
  </si>
  <si>
    <t>0246-62-3522</t>
  </si>
  <si>
    <t>0246-62-2494</t>
  </si>
  <si>
    <t>974-8232</t>
  </si>
  <si>
    <t>いわき市立勿来第一中学校</t>
  </si>
  <si>
    <t>勿来第一中学校</t>
  </si>
  <si>
    <t>勿来一中</t>
  </si>
  <si>
    <t>勿来一</t>
  </si>
  <si>
    <t>0246-64-7221</t>
  </si>
  <si>
    <t>0246-64-7264</t>
  </si>
  <si>
    <t>979-0141</t>
  </si>
  <si>
    <t>いわき市勿来町窪田伊賀屋敷１２３</t>
  </si>
  <si>
    <t>本宮市立本宮第二中学校</t>
  </si>
  <si>
    <t>本宮第二中学校</t>
  </si>
  <si>
    <t>本宮二中</t>
  </si>
  <si>
    <t>本宮二</t>
  </si>
  <si>
    <t>0243-33-3235</t>
  </si>
  <si>
    <t>0243-33-3231</t>
  </si>
  <si>
    <t>969-1104</t>
  </si>
  <si>
    <t>本宮市荒井字団子森28</t>
  </si>
  <si>
    <t>会津若松市神指町大字黒川字湯川東296</t>
  </si>
  <si>
    <t>性別</t>
    <rPh sb="0" eb="2">
      <t>セイベツ</t>
    </rPh>
    <phoneticPr fontId="2"/>
  </si>
  <si>
    <t>学校名</t>
    <rPh sb="0" eb="2">
      <t>ガッコウ</t>
    </rPh>
    <rPh sb="2" eb="3">
      <t>メイ</t>
    </rPh>
    <phoneticPr fontId="2"/>
  </si>
  <si>
    <t>体重</t>
    <rPh sb="0" eb="2">
      <t>タイジュウ</t>
    </rPh>
    <phoneticPr fontId="2"/>
  </si>
  <si>
    <t>順位</t>
    <rPh sb="0" eb="2">
      <t>ジュンイ</t>
    </rPh>
    <phoneticPr fontId="2"/>
  </si>
  <si>
    <t>ID</t>
    <phoneticPr fontId="2"/>
  </si>
  <si>
    <t>苗字</t>
    <rPh sb="0" eb="2">
      <t>ミョウジ</t>
    </rPh>
    <phoneticPr fontId="2"/>
  </si>
  <si>
    <t>名前</t>
    <rPh sb="0" eb="2">
      <t>ナマエ</t>
    </rPh>
    <phoneticPr fontId="2"/>
  </si>
  <si>
    <t>苗字ふりがな</t>
    <rPh sb="0" eb="2">
      <t>ミョウジ</t>
    </rPh>
    <phoneticPr fontId="2"/>
  </si>
  <si>
    <t>名前ふりがな</t>
    <rPh sb="0" eb="2">
      <t>ナマエ</t>
    </rPh>
    <phoneticPr fontId="2"/>
  </si>
  <si>
    <t>計</t>
    <rPh sb="0" eb="1">
      <t>ケイ</t>
    </rPh>
    <phoneticPr fontId="2"/>
  </si>
  <si>
    <t>大将</t>
  </si>
  <si>
    <t>監督№</t>
    <rPh sb="0" eb="2">
      <t>カントク</t>
    </rPh>
    <phoneticPr fontId="2"/>
  </si>
  <si>
    <t>出場＝１</t>
    <rPh sb="0" eb="2">
      <t>シュツジョウ</t>
    </rPh>
    <phoneticPr fontId="2"/>
  </si>
  <si>
    <t>ふりがな</t>
    <phoneticPr fontId="2"/>
  </si>
  <si>
    <t>監督電話番号</t>
    <rPh sb="0" eb="2">
      <t>カントク</t>
    </rPh>
    <rPh sb="2" eb="4">
      <t>デンワ</t>
    </rPh>
    <rPh sb="4" eb="6">
      <t>バンゴウ</t>
    </rPh>
    <phoneticPr fontId="2"/>
  </si>
  <si>
    <t>監督携帯番号</t>
    <rPh sb="0" eb="2">
      <t>カントク</t>
    </rPh>
    <rPh sb="2" eb="4">
      <t>ケイタイ</t>
    </rPh>
    <rPh sb="4" eb="6">
      <t>バンゴウ</t>
    </rPh>
    <phoneticPr fontId="2"/>
  </si>
  <si>
    <t>男子団体オーダー</t>
    <rPh sb="0" eb="2">
      <t>ダンシ</t>
    </rPh>
    <rPh sb="2" eb="4">
      <t>ダンタイ</t>
    </rPh>
    <phoneticPr fontId="2"/>
  </si>
  <si>
    <t>先鋒</t>
  </si>
  <si>
    <t>次鋒</t>
  </si>
  <si>
    <t>中堅</t>
  </si>
  <si>
    <t>副将</t>
  </si>
  <si>
    <t>女子団体オーダー</t>
    <rPh sb="0" eb="2">
      <t>ジョシ</t>
    </rPh>
    <rPh sb="2" eb="4">
      <t>ダンタイ</t>
    </rPh>
    <phoneticPr fontId="2"/>
  </si>
  <si>
    <t>ID</t>
    <phoneticPr fontId="2"/>
  </si>
  <si>
    <t>氏　名</t>
    <rPh sb="0" eb="1">
      <t>シ</t>
    </rPh>
    <rPh sb="2" eb="3">
      <t>メイ</t>
    </rPh>
    <phoneticPr fontId="2"/>
  </si>
  <si>
    <t>補欠１</t>
    <phoneticPr fontId="2"/>
  </si>
  <si>
    <t>補欠２</t>
  </si>
  <si>
    <t>補欠３</t>
  </si>
  <si>
    <t>名</t>
    <rPh sb="0" eb="1">
      <t>メイ</t>
    </rPh>
    <phoneticPr fontId="2"/>
  </si>
  <si>
    <t>せい</t>
    <phoneticPr fontId="2"/>
  </si>
  <si>
    <t>めい</t>
    <phoneticPr fontId="2"/>
  </si>
  <si>
    <t>個人戦</t>
    <rPh sb="0" eb="3">
      <t>コジンセン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</si>
  <si>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</si>
  <si>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</si>
  <si>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男子個人出場選手</t>
    <rPh sb="0" eb="2">
      <t>ダンシ</t>
    </rPh>
    <rPh sb="2" eb="4">
      <t>コジン</t>
    </rPh>
    <rPh sb="4" eb="6">
      <t>シュツジョウ</t>
    </rPh>
    <rPh sb="6" eb="8">
      <t>センシュ</t>
    </rPh>
    <phoneticPr fontId="2"/>
  </si>
  <si>
    <t>団体戦</t>
    <rPh sb="0" eb="3">
      <t>ダンタイセン</t>
    </rPh>
    <phoneticPr fontId="2"/>
  </si>
  <si>
    <t>女子個人出場選手</t>
    <rPh sb="0" eb="2">
      <t>ジョシ</t>
    </rPh>
    <rPh sb="2" eb="4">
      <t>コジン</t>
    </rPh>
    <rPh sb="4" eb="6">
      <t>シュツジョウ</t>
    </rPh>
    <rPh sb="6" eb="8">
      <t>センシュ</t>
    </rPh>
    <phoneticPr fontId="2"/>
  </si>
  <si>
    <t>宿泊</t>
    <rPh sb="0" eb="2">
      <t>シュクハク</t>
    </rPh>
    <phoneticPr fontId="2"/>
  </si>
  <si>
    <t>№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</si>
  <si>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</si>
  <si>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</si>
  <si>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学校ID</t>
    <rPh sb="0" eb="2">
      <t>ガッコウ</t>
    </rPh>
    <phoneticPr fontId="2"/>
  </si>
  <si>
    <t>例</t>
    <rPh sb="0" eb="1">
      <t>レイ</t>
    </rPh>
    <phoneticPr fontId="2"/>
  </si>
  <si>
    <t>太郎</t>
    <rPh sb="0" eb="2">
      <t>タロウ</t>
    </rPh>
    <phoneticPr fontId="2"/>
  </si>
  <si>
    <t>参</t>
    <rPh sb="0" eb="1">
      <t>サン</t>
    </rPh>
    <phoneticPr fontId="2"/>
  </si>
  <si>
    <t>男-1_女-2</t>
    <rPh sb="0" eb="1">
      <t>オトコ</t>
    </rPh>
    <rPh sb="4" eb="5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</si>
  <si>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</si>
  <si>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</si>
  <si>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参加料およびプログラム代　納付書</t>
    <rPh sb="0" eb="3">
      <t>サンカリョウ</t>
    </rPh>
    <rPh sb="11" eb="12">
      <t>ダイ</t>
    </rPh>
    <rPh sb="13" eb="16">
      <t>ノウフショ</t>
    </rPh>
    <phoneticPr fontId="2"/>
  </si>
  <si>
    <t>県　　名</t>
    <rPh sb="0" eb="1">
      <t>ケン</t>
    </rPh>
    <rPh sb="3" eb="4">
      <t>メイ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</si>
  <si>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</si>
  <si>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参　　加　　料</t>
    <rPh sb="0" eb="1">
      <t>サン</t>
    </rPh>
    <rPh sb="3" eb="4">
      <t>カ</t>
    </rPh>
    <rPh sb="6" eb="7">
      <t>リョウ</t>
    </rPh>
    <phoneticPr fontId="2"/>
  </si>
  <si>
    <t>① 団　体
        （人）</t>
    <phoneticPr fontId="2"/>
  </si>
  <si>
    <t>② 個　人
        （人）</t>
    <phoneticPr fontId="2"/>
  </si>
  <si>
    <t>③団体・個人
両方に参加 （人）</t>
    <phoneticPr fontId="2"/>
  </si>
  <si>
    <t>④合計人数
（①＋②－③）</t>
    <phoneticPr fontId="2"/>
  </si>
  <si>
    <t>人</t>
    <rPh sb="0" eb="1">
      <t>ニン</t>
    </rPh>
    <phoneticPr fontId="2"/>
  </si>
  <si>
    <t>合  計</t>
    <rPh sb="0" eb="1">
      <t>ゴウ</t>
    </rPh>
    <rPh sb="3" eb="4">
      <t>ケイ</t>
    </rPh>
    <phoneticPr fontId="2"/>
  </si>
  <si>
    <t>プログラム事前注文</t>
    <rPh sb="5" eb="7">
      <t>ジゼン</t>
    </rPh>
    <rPh sb="7" eb="9">
      <t>チュウモン</t>
    </rPh>
    <phoneticPr fontId="2"/>
  </si>
  <si>
    <t>冊</t>
    <rPh sb="0" eb="1">
      <t>サツ</t>
    </rPh>
    <phoneticPr fontId="2"/>
  </si>
  <si>
    <t xml:space="preserve"> 振　込　金　額</t>
    <rPh sb="1" eb="2">
      <t>フ</t>
    </rPh>
    <rPh sb="3" eb="4">
      <t>コ</t>
    </rPh>
    <rPh sb="5" eb="6">
      <t>キン</t>
    </rPh>
    <rPh sb="7" eb="8">
      <t>ガク</t>
    </rPh>
    <phoneticPr fontId="2"/>
  </si>
  <si>
    <t>提出責任者</t>
    <rPh sb="0" eb="2">
      <t>テイシュツ</t>
    </rPh>
    <rPh sb="2" eb="5">
      <t>セキニンシャ</t>
    </rPh>
    <phoneticPr fontId="2"/>
  </si>
  <si>
    <t>【振込先】</t>
    <rPh sb="1" eb="4">
      <t>フリコミサキ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</si>
  <si>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</si>
  <si>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</si>
  <si>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東北中学校体育大会</t>
    <rPh sb="0" eb="2">
      <t>トウホク</t>
    </rPh>
    <rPh sb="2" eb="5">
      <t>チュウガッコウ</t>
    </rPh>
    <rPh sb="5" eb="7">
      <t>タイイク</t>
    </rPh>
    <rPh sb="7" eb="9">
      <t>タイカイ</t>
    </rPh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</si>
  <si>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</si>
  <si>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</si>
  <si>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東北中学校柔道大会</t>
    <rPh sb="0" eb="2">
      <t>トウホク</t>
    </rPh>
    <rPh sb="2" eb="5">
      <t>チュウガッコウ</t>
    </rPh>
    <rPh sb="5" eb="7">
      <t>ジュウドウ</t>
    </rPh>
    <rPh sb="7" eb="9">
      <t>タイカイ</t>
    </rPh>
    <phoneticPr fontId="2"/>
  </si>
  <si>
    <t>ふりがな</t>
    <phoneticPr fontId="2"/>
  </si>
  <si>
    <t>職名・コーチ区分リスト</t>
    <rPh sb="0" eb="2">
      <t>ショクメイ</t>
    </rPh>
    <rPh sb="6" eb="8">
      <t>クブン</t>
    </rPh>
    <phoneticPr fontId="2"/>
  </si>
  <si>
    <t>ID</t>
    <phoneticPr fontId="2"/>
  </si>
  <si>
    <t>教諭</t>
    <rPh sb="0" eb="2">
      <t>キョウユ</t>
    </rPh>
    <phoneticPr fontId="2"/>
  </si>
  <si>
    <t>学校長名</t>
    <rPh sb="0" eb="3">
      <t>ガッコウチョウ</t>
    </rPh>
    <rPh sb="3" eb="4">
      <t>メイ</t>
    </rPh>
    <phoneticPr fontId="2"/>
  </si>
  <si>
    <t>講師</t>
    <rPh sb="0" eb="2">
      <t>コウシ</t>
    </rPh>
    <phoneticPr fontId="2"/>
  </si>
  <si>
    <t>県№</t>
    <rPh sb="0" eb="1">
      <t>ケン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</si>
  <si>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</si>
  <si>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</si>
  <si>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</si>
  <si>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※監督になる先生は電話番号を入力する！</t>
    <rPh sb="1" eb="3">
      <t>カントク</t>
    </rPh>
    <rPh sb="6" eb="8">
      <t>センセイ</t>
    </rPh>
    <rPh sb="9" eb="11">
      <t>デンワ</t>
    </rPh>
    <rPh sb="11" eb="13">
      <t>バンゴウ</t>
    </rPh>
    <rPh sb="14" eb="16">
      <t>ニュウリョク</t>
    </rPh>
    <phoneticPr fontId="2"/>
  </si>
  <si>
    <t>正顧問</t>
    <rPh sb="0" eb="1">
      <t>セイ</t>
    </rPh>
    <rPh sb="1" eb="3">
      <t>コモン</t>
    </rPh>
    <phoneticPr fontId="2"/>
  </si>
  <si>
    <t>氏　名</t>
    <rPh sb="0" eb="1">
      <t>シメイ</t>
    </rPh>
    <phoneticPr fontId="2"/>
  </si>
  <si>
    <t>ふりがな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</si>
  <si>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</si>
  <si>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副顧問</t>
    <rPh sb="0" eb="3">
      <t>フクコモン</t>
    </rPh>
    <phoneticPr fontId="2"/>
  </si>
  <si>
    <t>ふりがな</t>
    <phoneticPr fontId="2"/>
  </si>
  <si>
    <t>○東北大会や保険登録などに活用するため、苗字と名前を分けて入力してください！
　プログラム用に右の選手マスターに名前が自動作成されます！
○各大会への申し込みの際は、選手の「学年」「段位」「体重」を入力してください！
○追加の部員については「例」にしたがって確実に入力してください！</t>
    <rPh sb="1" eb="3">
      <t>トウホク</t>
    </rPh>
    <rPh sb="3" eb="5">
      <t>タイカイ</t>
    </rPh>
    <rPh sb="6" eb="8">
      <t>ホケン</t>
    </rPh>
    <rPh sb="8" eb="10">
      <t>トウロク</t>
    </rPh>
    <rPh sb="13" eb="15">
      <t>カツヨウ</t>
    </rPh>
    <rPh sb="20" eb="22">
      <t>ミョウジ</t>
    </rPh>
    <rPh sb="23" eb="25">
      <t>ナマエ</t>
    </rPh>
    <rPh sb="26" eb="27">
      <t>ワ</t>
    </rPh>
    <rPh sb="29" eb="31">
      <t>ニュウリョク</t>
    </rPh>
    <rPh sb="45" eb="46">
      <t>ヨウ</t>
    </rPh>
    <rPh sb="47" eb="48">
      <t>ミギ</t>
    </rPh>
    <rPh sb="49" eb="51">
      <t>センシュ</t>
    </rPh>
    <rPh sb="56" eb="58">
      <t>ナマエ</t>
    </rPh>
    <rPh sb="59" eb="61">
      <t>ジドウ</t>
    </rPh>
    <rPh sb="61" eb="63">
      <t>サクセイ</t>
    </rPh>
    <rPh sb="70" eb="71">
      <t>カク</t>
    </rPh>
    <rPh sb="71" eb="72">
      <t>タイ</t>
    </rPh>
    <rPh sb="72" eb="73">
      <t>カイ</t>
    </rPh>
    <rPh sb="75" eb="76">
      <t>モウ</t>
    </rPh>
    <rPh sb="77" eb="78">
      <t>コ</t>
    </rPh>
    <rPh sb="80" eb="81">
      <t>サイ</t>
    </rPh>
    <rPh sb="83" eb="85">
      <t>センシュ</t>
    </rPh>
    <rPh sb="87" eb="89">
      <t>ガクネン</t>
    </rPh>
    <rPh sb="91" eb="93">
      <t>ダンイ</t>
    </rPh>
    <rPh sb="95" eb="97">
      <t>タイジュウ</t>
    </rPh>
    <rPh sb="99" eb="101">
      <t>ニュウリョク</t>
    </rPh>
    <rPh sb="110" eb="112">
      <t>ツイカ</t>
    </rPh>
    <rPh sb="113" eb="115">
      <t>ブイン</t>
    </rPh>
    <rPh sb="121" eb="122">
      <t>レイ</t>
    </rPh>
    <rPh sb="129" eb="131">
      <t>カクジツ</t>
    </rPh>
    <rPh sb="132" eb="134">
      <t>ニュウリョク</t>
    </rPh>
    <phoneticPr fontId="2"/>
  </si>
  <si>
    <t>氏　名　入　力　欄
※例に従って入力してください！</t>
    <rPh sb="0" eb="1">
      <t>シ</t>
    </rPh>
    <rPh sb="2" eb="3">
      <t>メイ</t>
    </rPh>
    <rPh sb="4" eb="5">
      <t>ニュウ</t>
    </rPh>
    <rPh sb="6" eb="7">
      <t>チカラ</t>
    </rPh>
    <rPh sb="8" eb="9">
      <t>ラン</t>
    </rPh>
    <rPh sb="11" eb="12">
      <t>レイ</t>
    </rPh>
    <rPh sb="13" eb="14">
      <t>シタガ</t>
    </rPh>
    <rPh sb="16" eb="18">
      <t>ニュウリョク</t>
    </rPh>
    <phoneticPr fontId="2"/>
  </si>
  <si>
    <t>副顧問・外部ｺｰﾁ名</t>
    <rPh sb="0" eb="3">
      <t>フクコモン</t>
    </rPh>
    <rPh sb="4" eb="6">
      <t>ガイブ</t>
    </rPh>
    <rPh sb="9" eb="10">
      <t>メイ</t>
    </rPh>
    <phoneticPr fontId="2"/>
  </si>
  <si>
    <t>№</t>
    <phoneticPr fontId="2"/>
  </si>
  <si>
    <t>№</t>
    <phoneticPr fontId="2"/>
  </si>
  <si>
    <t>フリガナ</t>
    <phoneticPr fontId="2"/>
  </si>
  <si>
    <t>ふくしま</t>
    <phoneticPr fontId="2"/>
  </si>
  <si>
    <t>たろう</t>
    <phoneticPr fontId="2"/>
  </si>
  <si>
    <t>福島市立福島第四中学校</t>
    <rPh sb="0" eb="2">
      <t>フクシマ</t>
    </rPh>
    <rPh sb="2" eb="4">
      <t>シリツ</t>
    </rPh>
    <rPh sb="4" eb="6">
      <t>フクシマ</t>
    </rPh>
    <rPh sb="6" eb="8">
      <t>ダイヨン</t>
    </rPh>
    <rPh sb="8" eb="11">
      <t>チュウガッコウ</t>
    </rPh>
    <phoneticPr fontId="9"/>
  </si>
  <si>
    <t>福島第四中学校</t>
    <rPh sb="0" eb="2">
      <t>フクシマ</t>
    </rPh>
    <rPh sb="2" eb="4">
      <t>ダイヨン</t>
    </rPh>
    <rPh sb="4" eb="7">
      <t>チュウガッコウ</t>
    </rPh>
    <phoneticPr fontId="9"/>
  </si>
  <si>
    <t>福島四中</t>
    <rPh sb="0" eb="2">
      <t>フクシマ</t>
    </rPh>
    <rPh sb="2" eb="3">
      <t>ヨン</t>
    </rPh>
    <rPh sb="3" eb="4">
      <t>チュウ</t>
    </rPh>
    <phoneticPr fontId="9"/>
  </si>
  <si>
    <t>福島四</t>
    <rPh sb="0" eb="2">
      <t>フクシマ</t>
    </rPh>
    <rPh sb="2" eb="3">
      <t>ヨン</t>
    </rPh>
    <phoneticPr fontId="9"/>
  </si>
  <si>
    <t>福島市南平5-8</t>
    <rPh sb="0" eb="3">
      <t>フクシマシ</t>
    </rPh>
    <rPh sb="3" eb="4">
      <t>ミナミ</t>
    </rPh>
    <rPh sb="4" eb="5">
      <t>ヘイ</t>
    </rPh>
    <phoneticPr fontId="9"/>
  </si>
  <si>
    <t>福島市立立子山中学校</t>
    <rPh sb="0" eb="4">
      <t>フクシマシリツ</t>
    </rPh>
    <rPh sb="4" eb="5">
      <t>タ</t>
    </rPh>
    <rPh sb="5" eb="6">
      <t>コ</t>
    </rPh>
    <rPh sb="6" eb="7">
      <t>ヤマ</t>
    </rPh>
    <rPh sb="7" eb="10">
      <t>チュウガッコウ</t>
    </rPh>
    <phoneticPr fontId="14"/>
  </si>
  <si>
    <t>立子山中学校</t>
    <rPh sb="0" eb="1">
      <t>タ</t>
    </rPh>
    <rPh sb="1" eb="2">
      <t>コ</t>
    </rPh>
    <rPh sb="2" eb="3">
      <t>ヤマ</t>
    </rPh>
    <rPh sb="3" eb="6">
      <t>チュウガッコウ</t>
    </rPh>
    <phoneticPr fontId="14"/>
  </si>
  <si>
    <t>立子山中</t>
    <rPh sb="0" eb="1">
      <t>タ</t>
    </rPh>
    <rPh sb="1" eb="2">
      <t>コ</t>
    </rPh>
    <rPh sb="2" eb="3">
      <t>ヤマ</t>
    </rPh>
    <rPh sb="3" eb="4">
      <t>チュウ</t>
    </rPh>
    <phoneticPr fontId="14"/>
  </si>
  <si>
    <t>立子山</t>
    <rPh sb="0" eb="1">
      <t>タ</t>
    </rPh>
    <rPh sb="1" eb="2">
      <t>コ</t>
    </rPh>
    <rPh sb="2" eb="3">
      <t>ヤマ</t>
    </rPh>
    <phoneticPr fontId="14"/>
  </si>
  <si>
    <t>福島市立子山字大稲場２０</t>
    <rPh sb="0" eb="3">
      <t>フクシマシ</t>
    </rPh>
    <rPh sb="3" eb="4">
      <t>タ</t>
    </rPh>
    <rPh sb="4" eb="5">
      <t>コ</t>
    </rPh>
    <rPh sb="5" eb="6">
      <t>ヤマ</t>
    </rPh>
    <rPh sb="6" eb="7">
      <t>アザ</t>
    </rPh>
    <rPh sb="7" eb="8">
      <t>オオ</t>
    </rPh>
    <rPh sb="8" eb="10">
      <t>イナバ</t>
    </rPh>
    <phoneticPr fontId="11"/>
  </si>
  <si>
    <t>福島市飯坂町平野字舘ノ前3-3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タテ</t>
    </rPh>
    <rPh sb="11" eb="12">
      <t>マエ</t>
    </rPh>
    <phoneticPr fontId="11"/>
  </si>
  <si>
    <t>福島吾妻中学校</t>
    <rPh sb="0" eb="2">
      <t>フクシマ</t>
    </rPh>
    <rPh sb="2" eb="4">
      <t>アヅマ</t>
    </rPh>
    <rPh sb="4" eb="7">
      <t>チュウガッコウ</t>
    </rPh>
    <phoneticPr fontId="1"/>
  </si>
  <si>
    <t>福島吾妻中</t>
    <rPh sb="0" eb="2">
      <t>フクシマ</t>
    </rPh>
    <rPh sb="2" eb="4">
      <t>アヅマ</t>
    </rPh>
    <rPh sb="4" eb="5">
      <t>チュウ</t>
    </rPh>
    <phoneticPr fontId="1"/>
  </si>
  <si>
    <t>福島吾妻</t>
    <rPh sb="0" eb="2">
      <t>フクシマ</t>
    </rPh>
    <rPh sb="2" eb="4">
      <t>アヅマ</t>
    </rPh>
    <phoneticPr fontId="1"/>
  </si>
  <si>
    <t>伊達市立伊達中学校</t>
    <rPh sb="0" eb="2">
      <t>ダテ</t>
    </rPh>
    <rPh sb="2" eb="4">
      <t>シリツ</t>
    </rPh>
    <rPh sb="4" eb="6">
      <t>ダテ</t>
    </rPh>
    <rPh sb="6" eb="9">
      <t>チュウガッコウ</t>
    </rPh>
    <phoneticPr fontId="9"/>
  </si>
  <si>
    <t>伊達中学校</t>
    <rPh sb="0" eb="2">
      <t>ダテ</t>
    </rPh>
    <rPh sb="2" eb="5">
      <t>チュウガッコウ</t>
    </rPh>
    <phoneticPr fontId="9"/>
  </si>
  <si>
    <t>伊達中</t>
    <rPh sb="0" eb="2">
      <t>ダテ</t>
    </rPh>
    <rPh sb="2" eb="3">
      <t>チュウ</t>
    </rPh>
    <phoneticPr fontId="9"/>
  </si>
  <si>
    <t>伊達</t>
    <rPh sb="0" eb="2">
      <t>ダテ</t>
    </rPh>
    <phoneticPr fontId="9"/>
  </si>
  <si>
    <t>伊達市箱崎字沖１１０</t>
    <rPh sb="0" eb="3">
      <t>ダテシ</t>
    </rPh>
    <rPh sb="3" eb="5">
      <t>ハコザキ</t>
    </rPh>
    <rPh sb="5" eb="6">
      <t>アザ</t>
    </rPh>
    <rPh sb="6" eb="7">
      <t>オキ</t>
    </rPh>
    <phoneticPr fontId="9"/>
  </si>
  <si>
    <t>安達郡大玉村玉井字的場93</t>
    <rPh sb="0" eb="3">
      <t>アダチグン</t>
    </rPh>
    <rPh sb="3" eb="6">
      <t>オオタマムラ</t>
    </rPh>
    <rPh sb="6" eb="8">
      <t>タマイ</t>
    </rPh>
    <rPh sb="8" eb="9">
      <t>アザ</t>
    </rPh>
    <rPh sb="9" eb="11">
      <t>マトバ</t>
    </rPh>
    <phoneticPr fontId="11"/>
  </si>
  <si>
    <t>本宮市白岩字柳内835</t>
    <rPh sb="0" eb="2">
      <t>モトミヤ</t>
    </rPh>
    <rPh sb="2" eb="3">
      <t>シ</t>
    </rPh>
    <rPh sb="3" eb="5">
      <t>シライワ</t>
    </rPh>
    <rPh sb="5" eb="6">
      <t>アザ</t>
    </rPh>
    <rPh sb="6" eb="8">
      <t>ヤナイ</t>
    </rPh>
    <phoneticPr fontId="11"/>
  </si>
  <si>
    <t>郡山市立郡山第三中学校</t>
    <rPh sb="0" eb="2">
      <t>コオリヤマ</t>
    </rPh>
    <rPh sb="2" eb="4">
      <t>シリツ</t>
    </rPh>
    <rPh sb="4" eb="7">
      <t>コオリヤマダイ</t>
    </rPh>
    <rPh sb="7" eb="8">
      <t>3</t>
    </rPh>
    <rPh sb="8" eb="11">
      <t>チュウガッコウ</t>
    </rPh>
    <phoneticPr fontId="11"/>
  </si>
  <si>
    <t>郡山第三中学校</t>
    <rPh sb="0" eb="3">
      <t>コオリヤマダイ</t>
    </rPh>
    <rPh sb="3" eb="4">
      <t>3</t>
    </rPh>
    <rPh sb="4" eb="7">
      <t>チュウガッコウ</t>
    </rPh>
    <phoneticPr fontId="11"/>
  </si>
  <si>
    <t>郡山三中</t>
    <rPh sb="0" eb="2">
      <t>コオリヤマ</t>
    </rPh>
    <rPh sb="2" eb="3">
      <t>3</t>
    </rPh>
    <rPh sb="3" eb="4">
      <t>チュウ</t>
    </rPh>
    <phoneticPr fontId="11"/>
  </si>
  <si>
    <t>郡山三</t>
    <rPh sb="0" eb="2">
      <t>コオリヤマ</t>
    </rPh>
    <rPh sb="2" eb="3">
      <t>3</t>
    </rPh>
    <phoneticPr fontId="11"/>
  </si>
  <si>
    <t>須賀川市志茂字六角５</t>
    <rPh sb="0" eb="4">
      <t>スカガワシ</t>
    </rPh>
    <rPh sb="4" eb="6">
      <t>シモ</t>
    </rPh>
    <rPh sb="6" eb="7">
      <t>アザ</t>
    </rPh>
    <rPh sb="7" eb="9">
      <t>ロッカク</t>
    </rPh>
    <phoneticPr fontId="32"/>
  </si>
  <si>
    <t>岩瀬郡天栄村大字白子字西原５</t>
    <rPh sb="0" eb="2">
      <t>イワセ</t>
    </rPh>
    <rPh sb="2" eb="3">
      <t>グン</t>
    </rPh>
    <rPh sb="3" eb="5">
      <t>テンエイ</t>
    </rPh>
    <rPh sb="5" eb="6">
      <t>ムラ</t>
    </rPh>
    <rPh sb="6" eb="8">
      <t>オオアザ</t>
    </rPh>
    <rPh sb="8" eb="10">
      <t>シラコ</t>
    </rPh>
    <rPh sb="10" eb="11">
      <t>ジ</t>
    </rPh>
    <rPh sb="11" eb="13">
      <t>ニシハラ</t>
    </rPh>
    <phoneticPr fontId="32"/>
  </si>
  <si>
    <t>三春町立三春中学校</t>
    <rPh sb="0" eb="2">
      <t>ミハル</t>
    </rPh>
    <rPh sb="2" eb="4">
      <t>チョウリツ</t>
    </rPh>
    <rPh sb="4" eb="6">
      <t>ミハル</t>
    </rPh>
    <rPh sb="6" eb="9">
      <t>チュウガッコウ</t>
    </rPh>
    <phoneticPr fontId="2"/>
  </si>
  <si>
    <t>三春中学校</t>
    <rPh sb="0" eb="2">
      <t>ミハル</t>
    </rPh>
    <rPh sb="2" eb="5">
      <t>チュウガッコウ</t>
    </rPh>
    <phoneticPr fontId="2"/>
  </si>
  <si>
    <t>三春中</t>
    <rPh sb="0" eb="2">
      <t>ミハル</t>
    </rPh>
    <rPh sb="2" eb="3">
      <t>チュウ</t>
    </rPh>
    <phoneticPr fontId="2"/>
  </si>
  <si>
    <t>三春</t>
    <rPh sb="0" eb="2">
      <t>ミハル</t>
    </rPh>
    <phoneticPr fontId="2"/>
  </si>
  <si>
    <t>0247-62-2181</t>
  </si>
  <si>
    <t>0247-62-6978</t>
  </si>
  <si>
    <t>963-7719</t>
  </si>
  <si>
    <t>田村郡三春町大字貝山字泉沢100-4</t>
    <rPh sb="0" eb="2">
      <t>タムラ</t>
    </rPh>
    <rPh sb="2" eb="3">
      <t>グン</t>
    </rPh>
    <rPh sb="3" eb="6">
      <t>ミハルマチ</t>
    </rPh>
    <rPh sb="6" eb="8">
      <t>オオアザ</t>
    </rPh>
    <rPh sb="8" eb="10">
      <t>カイヤマ</t>
    </rPh>
    <rPh sb="10" eb="11">
      <t>アザ</t>
    </rPh>
    <rPh sb="11" eb="13">
      <t>イズミサワ</t>
    </rPh>
    <phoneticPr fontId="2"/>
  </si>
  <si>
    <t>石川郡玉川村大字中字前作田71</t>
    <rPh sb="0" eb="3">
      <t>イシカワグン</t>
    </rPh>
    <rPh sb="3" eb="6">
      <t>タマガワムラ</t>
    </rPh>
    <rPh sb="6" eb="8">
      <t>オオアザ</t>
    </rPh>
    <rPh sb="8" eb="9">
      <t>ナカ</t>
    </rPh>
    <rPh sb="9" eb="10">
      <t>アザ</t>
    </rPh>
    <rPh sb="10" eb="11">
      <t>マエ</t>
    </rPh>
    <rPh sb="11" eb="13">
      <t>サクタ</t>
    </rPh>
    <phoneticPr fontId="11"/>
  </si>
  <si>
    <t>会津若松市河東町広田字東116</t>
    <rPh sb="0" eb="5">
      <t>アイヅワカマツシ</t>
    </rPh>
    <rPh sb="5" eb="8">
      <t>カワヒガシマチ</t>
    </rPh>
    <rPh sb="8" eb="10">
      <t>ヒロタ</t>
    </rPh>
    <rPh sb="10" eb="11">
      <t>アザ</t>
    </rPh>
    <rPh sb="11" eb="12">
      <t>ヒガシ</t>
    </rPh>
    <phoneticPr fontId="11"/>
  </si>
  <si>
    <t>磐梯町立磐梯中学校</t>
    <rPh sb="0" eb="2">
      <t>バンダイ</t>
    </rPh>
    <rPh sb="2" eb="4">
      <t>チョウリツ</t>
    </rPh>
    <rPh sb="4" eb="6">
      <t>バンダイ</t>
    </rPh>
    <rPh sb="6" eb="9">
      <t>チュウガッコウ</t>
    </rPh>
    <phoneticPr fontId="11"/>
  </si>
  <si>
    <t>磐梯中学校</t>
    <rPh sb="0" eb="2">
      <t>バンダイ</t>
    </rPh>
    <rPh sb="2" eb="5">
      <t>チュウガッコウ</t>
    </rPh>
    <phoneticPr fontId="11"/>
  </si>
  <si>
    <t>磐梯中</t>
    <rPh sb="0" eb="2">
      <t>バンダイ</t>
    </rPh>
    <rPh sb="2" eb="3">
      <t>チュウ</t>
    </rPh>
    <phoneticPr fontId="11"/>
  </si>
  <si>
    <t>磐梯</t>
    <rPh sb="0" eb="2">
      <t>バンダイ</t>
    </rPh>
    <phoneticPr fontId="11"/>
  </si>
  <si>
    <t>耶麻郡磐梯町大字磐梯字仁渡914</t>
    <rPh sb="0" eb="3">
      <t>ヤマグン</t>
    </rPh>
    <rPh sb="3" eb="6">
      <t>バンダイマチ</t>
    </rPh>
    <rPh sb="6" eb="8">
      <t>オオアザ</t>
    </rPh>
    <rPh sb="8" eb="10">
      <t>バンダイ</t>
    </rPh>
    <rPh sb="10" eb="11">
      <t>アザ</t>
    </rPh>
    <rPh sb="11" eb="12">
      <t>ジン</t>
    </rPh>
    <rPh sb="12" eb="13">
      <t>ワタリ</t>
    </rPh>
    <phoneticPr fontId="11"/>
  </si>
  <si>
    <t>９６９－６５６５</t>
  </si>
  <si>
    <t>南相馬市小高区吉名字中坪１</t>
    <rPh sb="0" eb="1">
      <t>ミナミ</t>
    </rPh>
    <rPh sb="1" eb="4">
      <t>ソウマシ</t>
    </rPh>
    <rPh sb="4" eb="6">
      <t>オダカ</t>
    </rPh>
    <rPh sb="6" eb="7">
      <t>ク</t>
    </rPh>
    <rPh sb="7" eb="9">
      <t>ヨシナ</t>
    </rPh>
    <rPh sb="9" eb="10">
      <t>アザ</t>
    </rPh>
    <rPh sb="10" eb="12">
      <t>ナカツボ</t>
    </rPh>
    <phoneticPr fontId="11"/>
  </si>
  <si>
    <t>双葉郡浪江町大字川添字南大坂28</t>
    <rPh sb="0" eb="3">
      <t>フタバグン</t>
    </rPh>
    <rPh sb="3" eb="6">
      <t>ナミエマチ</t>
    </rPh>
    <rPh sb="6" eb="8">
      <t>オオアザ</t>
    </rPh>
    <rPh sb="8" eb="10">
      <t>カワゾエ</t>
    </rPh>
    <rPh sb="10" eb="11">
      <t>アザ</t>
    </rPh>
    <rPh sb="11" eb="12">
      <t>ミナミ</t>
    </rPh>
    <rPh sb="12" eb="14">
      <t>オオサカ</t>
    </rPh>
    <phoneticPr fontId="11"/>
  </si>
  <si>
    <t>双葉郡双葉町大字新山字東舘１</t>
    <rPh sb="0" eb="3">
      <t>フタバグン</t>
    </rPh>
    <rPh sb="3" eb="6">
      <t>フタバマチ</t>
    </rPh>
    <rPh sb="6" eb="8">
      <t>オオアザ</t>
    </rPh>
    <rPh sb="8" eb="10">
      <t>シンザン</t>
    </rPh>
    <rPh sb="10" eb="11">
      <t>アザ</t>
    </rPh>
    <rPh sb="11" eb="13">
      <t>ヒガシタテ</t>
    </rPh>
    <phoneticPr fontId="11"/>
  </si>
  <si>
    <t>会津若松市追手町2-41</t>
    <rPh sb="0" eb="5">
      <t>アイヅワカマツシ</t>
    </rPh>
    <rPh sb="5" eb="8">
      <t>オウテマチ</t>
    </rPh>
    <phoneticPr fontId="9"/>
  </si>
  <si>
    <t>双葉郡富岡町小浜字中央237-2</t>
    <rPh sb="0" eb="3">
      <t>フタバグン</t>
    </rPh>
    <rPh sb="3" eb="6">
      <t>トミオカマチ</t>
    </rPh>
    <rPh sb="6" eb="8">
      <t>オバマ</t>
    </rPh>
    <rPh sb="8" eb="9">
      <t>アザ</t>
    </rPh>
    <rPh sb="9" eb="11">
      <t>チュウオウ</t>
    </rPh>
    <phoneticPr fontId="11"/>
  </si>
  <si>
    <t>富岡二中</t>
    <rPh sb="0" eb="2">
      <t>トミオカ</t>
    </rPh>
    <phoneticPr fontId="11"/>
  </si>
  <si>
    <t>双葉郡富岡町字夜の森四丁目42</t>
    <rPh sb="0" eb="3">
      <t>フタバグン</t>
    </rPh>
    <rPh sb="3" eb="6">
      <t>トミオカマチ</t>
    </rPh>
    <rPh sb="6" eb="7">
      <t>アザ</t>
    </rPh>
    <rPh sb="7" eb="8">
      <t>ヨ</t>
    </rPh>
    <rPh sb="9" eb="10">
      <t>モリ</t>
    </rPh>
    <rPh sb="10" eb="13">
      <t>ヨンチョウメ</t>
    </rPh>
    <phoneticPr fontId="11"/>
  </si>
  <si>
    <t>0246-32-2305</t>
  </si>
  <si>
    <t>いわき市錦町飯森町１</t>
  </si>
  <si>
    <t>学校ｺｰﾄﾞ</t>
    <rPh sb="0" eb="2">
      <t>ガッコウ</t>
    </rPh>
    <phoneticPr fontId="2"/>
  </si>
  <si>
    <t>県ｺｰﾄﾞ</t>
    <rPh sb="0" eb="1">
      <t>ケン</t>
    </rPh>
    <phoneticPr fontId="2"/>
  </si>
  <si>
    <t>審判</t>
    <rPh sb="0" eb="2">
      <t>シンパン</t>
    </rPh>
    <phoneticPr fontId="2"/>
  </si>
  <si>
    <t>コーチ１</t>
    <phoneticPr fontId="2"/>
  </si>
  <si>
    <t>コーチ２</t>
    <phoneticPr fontId="2"/>
  </si>
  <si>
    <t>福島市立福島第四</t>
    <rPh sb="0" eb="2">
      <t>フクシマ</t>
    </rPh>
    <rPh sb="2" eb="4">
      <t>シリツ</t>
    </rPh>
    <rPh sb="4" eb="6">
      <t>フクシマ</t>
    </rPh>
    <rPh sb="6" eb="8">
      <t>ダイヨン</t>
    </rPh>
    <phoneticPr fontId="9"/>
  </si>
  <si>
    <t>福島市立清水</t>
    <phoneticPr fontId="2"/>
  </si>
  <si>
    <t>福島市立信陵</t>
    <phoneticPr fontId="2"/>
  </si>
  <si>
    <t>福島市立北信</t>
    <phoneticPr fontId="2"/>
  </si>
  <si>
    <t>福島市立立子山</t>
    <rPh sb="0" eb="4">
      <t>フクシマシリツ</t>
    </rPh>
    <rPh sb="4" eb="5">
      <t>タ</t>
    </rPh>
    <rPh sb="5" eb="6">
      <t>コ</t>
    </rPh>
    <rPh sb="6" eb="7">
      <t>ヤマ</t>
    </rPh>
    <phoneticPr fontId="14"/>
  </si>
  <si>
    <t>福島市立大鳥</t>
    <phoneticPr fontId="2"/>
  </si>
  <si>
    <t>福島市立平野</t>
    <phoneticPr fontId="2"/>
  </si>
  <si>
    <t>福島市立松陵</t>
    <phoneticPr fontId="2"/>
  </si>
  <si>
    <t>福島市立信夫</t>
    <phoneticPr fontId="2"/>
  </si>
  <si>
    <t>福島市立吾妻</t>
    <phoneticPr fontId="2"/>
  </si>
  <si>
    <t>福島市立飯野</t>
    <phoneticPr fontId="2"/>
  </si>
  <si>
    <t>伊達市立伊達</t>
    <rPh sb="0" eb="2">
      <t>ダテ</t>
    </rPh>
    <rPh sb="2" eb="4">
      <t>シリツ</t>
    </rPh>
    <rPh sb="4" eb="6">
      <t>ダテ</t>
    </rPh>
    <phoneticPr fontId="9"/>
  </si>
  <si>
    <t>伊達市立梁川</t>
    <phoneticPr fontId="2"/>
  </si>
  <si>
    <t>伊達市立松陽</t>
    <phoneticPr fontId="2"/>
  </si>
  <si>
    <t>伊達市立桃陵</t>
    <phoneticPr fontId="2"/>
  </si>
  <si>
    <t>伊達市立霊山</t>
    <phoneticPr fontId="2"/>
  </si>
  <si>
    <t>桑折町立醸芳</t>
    <phoneticPr fontId="2"/>
  </si>
  <si>
    <t>国見町立県北</t>
    <phoneticPr fontId="2"/>
  </si>
  <si>
    <t>二本松市立二本松第一</t>
    <phoneticPr fontId="2"/>
  </si>
  <si>
    <t>二本松市立二本松第三</t>
    <phoneticPr fontId="2"/>
  </si>
  <si>
    <t>二本松市立安達</t>
    <phoneticPr fontId="2"/>
  </si>
  <si>
    <t>大玉村立大玉</t>
    <phoneticPr fontId="2"/>
  </si>
  <si>
    <t>本宮市立本宮第一</t>
    <phoneticPr fontId="2"/>
  </si>
  <si>
    <t>本宮市立本宮第二</t>
    <phoneticPr fontId="2"/>
  </si>
  <si>
    <t>本宮市立白沢</t>
    <phoneticPr fontId="2"/>
  </si>
  <si>
    <t>郡山市立行健</t>
    <phoneticPr fontId="2"/>
  </si>
  <si>
    <t>郡山市立安積</t>
    <phoneticPr fontId="2"/>
  </si>
  <si>
    <t>郡山市立守山</t>
    <phoneticPr fontId="2"/>
  </si>
  <si>
    <t>郡山市立郡山第一</t>
    <phoneticPr fontId="2"/>
  </si>
  <si>
    <t>郡山市立郡山第三</t>
    <rPh sb="0" eb="2">
      <t>コオリヤマ</t>
    </rPh>
    <rPh sb="2" eb="4">
      <t>シリツ</t>
    </rPh>
    <rPh sb="4" eb="7">
      <t>コオリヤマダイ</t>
    </rPh>
    <rPh sb="7" eb="8">
      <t>3</t>
    </rPh>
    <phoneticPr fontId="11"/>
  </si>
  <si>
    <t>郡山市立郡山第四</t>
    <phoneticPr fontId="2"/>
  </si>
  <si>
    <t>郡山市立郡山第六</t>
    <phoneticPr fontId="2"/>
  </si>
  <si>
    <t>郡山市立郡山第七</t>
    <phoneticPr fontId="2"/>
  </si>
  <si>
    <t>郡山市立小原田</t>
    <phoneticPr fontId="2"/>
  </si>
  <si>
    <t>須賀川市立第一</t>
    <phoneticPr fontId="2"/>
  </si>
  <si>
    <t>須賀川市立第二</t>
    <phoneticPr fontId="2"/>
  </si>
  <si>
    <t>須賀川市立第三</t>
    <phoneticPr fontId="2"/>
  </si>
  <si>
    <t>須賀川市立仁井田</t>
    <phoneticPr fontId="2"/>
  </si>
  <si>
    <t>須賀川市立長沼</t>
    <phoneticPr fontId="2"/>
  </si>
  <si>
    <t>須賀川市立岩瀬</t>
    <phoneticPr fontId="2"/>
  </si>
  <si>
    <t>天栄村立天栄</t>
    <phoneticPr fontId="2"/>
  </si>
  <si>
    <t>田村市立都路</t>
    <phoneticPr fontId="2"/>
  </si>
  <si>
    <t>田村市立船引</t>
    <phoneticPr fontId="2"/>
  </si>
  <si>
    <t>三春町立三春</t>
    <rPh sb="0" eb="2">
      <t>ミハル</t>
    </rPh>
    <rPh sb="2" eb="4">
      <t>チョウリツ</t>
    </rPh>
    <rPh sb="4" eb="6">
      <t>ミハル</t>
    </rPh>
    <phoneticPr fontId="2"/>
  </si>
  <si>
    <t>小野町立小野</t>
    <phoneticPr fontId="2"/>
  </si>
  <si>
    <t>白河市立白河中央</t>
    <phoneticPr fontId="2"/>
  </si>
  <si>
    <t>白河市立白河第二</t>
    <phoneticPr fontId="2"/>
  </si>
  <si>
    <t>西郷村立西郷第一</t>
    <phoneticPr fontId="2"/>
  </si>
  <si>
    <t>西郷村立西郷第二</t>
    <phoneticPr fontId="2"/>
  </si>
  <si>
    <t>矢吹町立矢吹</t>
    <phoneticPr fontId="2"/>
  </si>
  <si>
    <t>棚倉町立棚倉</t>
    <phoneticPr fontId="2"/>
  </si>
  <si>
    <t>塙町立塙</t>
    <phoneticPr fontId="2"/>
  </si>
  <si>
    <t>石川町立石川</t>
    <phoneticPr fontId="2"/>
  </si>
  <si>
    <t>玉川村立泉</t>
    <phoneticPr fontId="2"/>
  </si>
  <si>
    <t>平田村立小平</t>
    <phoneticPr fontId="2"/>
  </si>
  <si>
    <t>古殿町立古殿</t>
    <phoneticPr fontId="2"/>
  </si>
  <si>
    <t>会津若松市立第一</t>
    <phoneticPr fontId="2"/>
  </si>
  <si>
    <t>会津若松市立第二</t>
    <phoneticPr fontId="2"/>
  </si>
  <si>
    <t>会津若松市立第三</t>
    <phoneticPr fontId="2"/>
  </si>
  <si>
    <t>会津若松市立第四</t>
    <phoneticPr fontId="2"/>
  </si>
  <si>
    <t>会津若松市立第五</t>
    <phoneticPr fontId="2"/>
  </si>
  <si>
    <t>会津若松市立第六</t>
    <phoneticPr fontId="2"/>
  </si>
  <si>
    <t>会津若松市立一箕</t>
    <phoneticPr fontId="2"/>
  </si>
  <si>
    <t>会津若松市立北会津</t>
    <phoneticPr fontId="2"/>
  </si>
  <si>
    <t>会津若松市立河東</t>
    <phoneticPr fontId="2"/>
  </si>
  <si>
    <t>磐梯町立磐梯</t>
    <rPh sb="0" eb="2">
      <t>バンダイ</t>
    </rPh>
    <rPh sb="2" eb="4">
      <t>チョウリツ</t>
    </rPh>
    <rPh sb="4" eb="6">
      <t>バンダイ</t>
    </rPh>
    <phoneticPr fontId="11"/>
  </si>
  <si>
    <t>猪苗代町立猪苗代</t>
    <phoneticPr fontId="2"/>
  </si>
  <si>
    <t>猪苗代町立吾妻</t>
    <phoneticPr fontId="2"/>
  </si>
  <si>
    <t>喜多方市立第一</t>
    <phoneticPr fontId="2"/>
  </si>
  <si>
    <t>喜多方市立第三</t>
    <phoneticPr fontId="2"/>
  </si>
  <si>
    <t>河沼郡会津坂下町立坂下</t>
    <phoneticPr fontId="2"/>
  </si>
  <si>
    <t>会津美里町立高田</t>
    <phoneticPr fontId="2"/>
  </si>
  <si>
    <t>会津美里町立新鶴</t>
    <phoneticPr fontId="2"/>
  </si>
  <si>
    <t>南会津町立田島</t>
    <phoneticPr fontId="2"/>
  </si>
  <si>
    <t>南会津町立荒海</t>
    <phoneticPr fontId="2"/>
  </si>
  <si>
    <t>下郷町立下郷</t>
    <phoneticPr fontId="2"/>
  </si>
  <si>
    <t>新地町立尚英</t>
    <phoneticPr fontId="2"/>
  </si>
  <si>
    <t>相馬市立中村第二</t>
    <phoneticPr fontId="2"/>
  </si>
  <si>
    <t>相馬市立向陽</t>
    <phoneticPr fontId="2"/>
  </si>
  <si>
    <t>南相馬市立原町第一</t>
    <phoneticPr fontId="2"/>
  </si>
  <si>
    <t>南相馬市立原町第三</t>
    <phoneticPr fontId="2"/>
  </si>
  <si>
    <t>南相馬市立鹿島</t>
    <phoneticPr fontId="2"/>
  </si>
  <si>
    <t>南相馬市立小高</t>
    <phoneticPr fontId="2"/>
  </si>
  <si>
    <t>浪江町立浪江</t>
    <phoneticPr fontId="2"/>
  </si>
  <si>
    <t>双葉町立双葉</t>
    <phoneticPr fontId="2"/>
  </si>
  <si>
    <t>大熊町立大熊</t>
    <phoneticPr fontId="2"/>
  </si>
  <si>
    <t>富岡町立富岡第一</t>
    <phoneticPr fontId="2"/>
  </si>
  <si>
    <t>富岡町立富岡第二</t>
    <phoneticPr fontId="2"/>
  </si>
  <si>
    <t>いわき市立平第一</t>
    <phoneticPr fontId="2"/>
  </si>
  <si>
    <t>いわき市立平第三</t>
    <phoneticPr fontId="2"/>
  </si>
  <si>
    <t>いわき市立四倉</t>
    <phoneticPr fontId="2"/>
  </si>
  <si>
    <t>いわき市立好間</t>
    <phoneticPr fontId="2"/>
  </si>
  <si>
    <t>いわき市立小名浜第一</t>
    <phoneticPr fontId="2"/>
  </si>
  <si>
    <t>いわき市立小名浜第二</t>
    <phoneticPr fontId="2"/>
  </si>
  <si>
    <t>いわき市立江名</t>
    <phoneticPr fontId="2"/>
  </si>
  <si>
    <t>いわき市立泉</t>
    <phoneticPr fontId="2"/>
  </si>
  <si>
    <t>いわき市立湯本第一</t>
    <phoneticPr fontId="2"/>
  </si>
  <si>
    <t>いわき市立湯本第二</t>
    <phoneticPr fontId="2"/>
  </si>
  <si>
    <t>いわき市立磐崎</t>
    <phoneticPr fontId="2"/>
  </si>
  <si>
    <t>いわき市立植田</t>
    <phoneticPr fontId="2"/>
  </si>
  <si>
    <t>いわき市立錦</t>
    <phoneticPr fontId="2"/>
  </si>
  <si>
    <t>いわき市立勿来第一</t>
    <phoneticPr fontId="2"/>
  </si>
  <si>
    <t>性別</t>
    <rPh sb="0" eb="2">
      <t>セイベツ</t>
    </rPh>
    <phoneticPr fontId="2"/>
  </si>
  <si>
    <t>県№</t>
    <rPh sb="0" eb="1">
      <t>ケン</t>
    </rPh>
    <phoneticPr fontId="2"/>
  </si>
  <si>
    <t>階級</t>
    <rPh sb="0" eb="2">
      <t>カイキュウ</t>
    </rPh>
    <phoneticPr fontId="2"/>
  </si>
  <si>
    <t>順位</t>
    <rPh sb="0" eb="2">
      <t>ジュンイ</t>
    </rPh>
    <phoneticPr fontId="2"/>
  </si>
  <si>
    <t>ﾁｰﾑID</t>
    <phoneticPr fontId="2"/>
  </si>
  <si>
    <t>№</t>
    <phoneticPr fontId="2"/>
  </si>
  <si>
    <t>選手ID</t>
    <rPh sb="0" eb="2">
      <t>センシュ</t>
    </rPh>
    <phoneticPr fontId="2"/>
  </si>
  <si>
    <t>草野　　仁</t>
  </si>
  <si>
    <t>教諭</t>
  </si>
  <si>
    <t>瀧本ヨシ子</t>
  </si>
  <si>
    <t>いわき市立内郷第一</t>
  </si>
  <si>
    <t>いわきしりつうちごうだいいちちゅうがっこう</t>
  </si>
  <si>
    <t>福島市立福島第三</t>
  </si>
  <si>
    <t>参加料</t>
    <rPh sb="0" eb="3">
      <t>サンカリョウ</t>
    </rPh>
    <phoneticPr fontId="2"/>
  </si>
  <si>
    <t>2,000</t>
    <phoneticPr fontId="2"/>
  </si>
  <si>
    <t>プログラム代</t>
    <rPh sb="5" eb="6">
      <t>ダイ</t>
    </rPh>
    <phoneticPr fontId="2"/>
  </si>
  <si>
    <t>1,000</t>
    <phoneticPr fontId="2"/>
  </si>
  <si>
    <t>銀行名</t>
    <rPh sb="0" eb="3">
      <t>ギンコウメイ</t>
    </rPh>
    <phoneticPr fontId="2"/>
  </si>
  <si>
    <t>口座番号</t>
    <rPh sb="0" eb="2">
      <t>コウザ</t>
    </rPh>
    <rPh sb="2" eb="4">
      <t>バンゴウ</t>
    </rPh>
    <phoneticPr fontId="2"/>
  </si>
  <si>
    <t>口座名</t>
    <rPh sb="0" eb="2">
      <t>コウザ</t>
    </rPh>
    <rPh sb="2" eb="3">
      <t>メイ</t>
    </rPh>
    <phoneticPr fontId="2"/>
  </si>
  <si>
    <t>銀行名　</t>
    <rPh sb="0" eb="3">
      <t>ギンコウメイ</t>
    </rPh>
    <phoneticPr fontId="2"/>
  </si>
  <si>
    <t>口座名　</t>
    <rPh sb="0" eb="2">
      <t>コウザ</t>
    </rPh>
    <rPh sb="2" eb="3">
      <t>メイ</t>
    </rPh>
    <phoneticPr fontId="2"/>
  </si>
  <si>
    <t>男子団体</t>
    <rPh sb="0" eb="2">
      <t>ダンシ</t>
    </rPh>
    <rPh sb="2" eb="4">
      <t>ダンタイ</t>
    </rPh>
    <phoneticPr fontId="2"/>
  </si>
  <si>
    <t>男子個人</t>
    <rPh sb="0" eb="2">
      <t>ダンシ</t>
    </rPh>
    <rPh sb="2" eb="4">
      <t>コジン</t>
    </rPh>
    <phoneticPr fontId="2"/>
  </si>
  <si>
    <t>両方参加</t>
    <rPh sb="0" eb="2">
      <t>リョウホウ</t>
    </rPh>
    <rPh sb="2" eb="4">
      <t>サンカ</t>
    </rPh>
    <phoneticPr fontId="2"/>
  </si>
  <si>
    <t>女子団体</t>
    <rPh sb="0" eb="2">
      <t>ジョシ</t>
    </rPh>
    <rPh sb="2" eb="4">
      <t>ダンタイ</t>
    </rPh>
    <phoneticPr fontId="2"/>
  </si>
  <si>
    <t>女子個人</t>
    <rPh sb="0" eb="2">
      <t>ジョシ</t>
    </rPh>
    <rPh sb="2" eb="4">
      <t>コジン</t>
    </rPh>
    <phoneticPr fontId="2"/>
  </si>
  <si>
    <t>№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</si>
  <si>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</si>
  <si>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</si>
  <si>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</si>
  <si>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</si>
  <si>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プログラム冊数</t>
    <rPh sb="5" eb="7">
      <t>サッスウ</t>
    </rPh>
    <phoneticPr fontId="2"/>
  </si>
  <si>
    <t>出場者延べ数算出票</t>
    <rPh sb="0" eb="3">
      <t>シュツジョウシャ</t>
    </rPh>
    <rPh sb="3" eb="4">
      <t>ノ</t>
    </rPh>
    <rPh sb="5" eb="6">
      <t>スウ</t>
    </rPh>
    <rPh sb="6" eb="8">
      <t>サンシュツ</t>
    </rPh>
    <rPh sb="8" eb="9">
      <t>ヒョウ</t>
    </rPh>
    <phoneticPr fontId="2"/>
  </si>
  <si>
    <t>男子個人戦申込書</t>
    <rPh sb="0" eb="2">
      <t>ダンシ</t>
    </rPh>
    <rPh sb="2" eb="5">
      <t>コジンセン</t>
    </rPh>
    <rPh sb="5" eb="8">
      <t>モウシコミショ</t>
    </rPh>
    <phoneticPr fontId="2"/>
  </si>
  <si>
    <t>女子個人戦申込書</t>
    <rPh sb="0" eb="2">
      <t>ジョシ</t>
    </rPh>
    <rPh sb="2" eb="5">
      <t>コジンセン</t>
    </rPh>
    <rPh sb="5" eb="8">
      <t>モウシコミショ</t>
    </rPh>
    <phoneticPr fontId="2"/>
  </si>
  <si>
    <t>ふりがな</t>
    <phoneticPr fontId="2"/>
  </si>
  <si>
    <t>ふりがな</t>
    <phoneticPr fontId="2"/>
  </si>
  <si>
    <t>五所川原市立五所川原第一</t>
  </si>
  <si>
    <t>ごしょがわらしりつごしょがわらだいいちちゅうがっこう</t>
  </si>
  <si>
    <t>青森山田</t>
  </si>
  <si>
    <t>弘前市立第一</t>
  </si>
  <si>
    <t>ひろさきしりつだいいちちゅうがっこう</t>
  </si>
  <si>
    <t>八戸市立下長</t>
  </si>
  <si>
    <t>はちのへしりつしもながちゅうがっこう</t>
  </si>
  <si>
    <t>つがる市立車力</t>
  </si>
  <si>
    <t>つがるしりつしゃりきちゅうがっこう</t>
  </si>
  <si>
    <t>藤崎町立明徳</t>
  </si>
  <si>
    <t>ふじさきちょうりつめいとくちゅうがっこう</t>
  </si>
  <si>
    <t>鶴田町立鶴田</t>
  </si>
  <si>
    <t>つるたちょうりつつるたちゅうがっこう</t>
  </si>
  <si>
    <t>八戸市立鮫</t>
  </si>
  <si>
    <t>はちのへしりつさめ</t>
  </si>
  <si>
    <t>東北町立東北</t>
  </si>
  <si>
    <t>とうほくちょうりつとうほく</t>
  </si>
  <si>
    <t>中泊町立中里</t>
  </si>
  <si>
    <t>なかどまりちょうりつなかさとちゅうがっこう</t>
  </si>
  <si>
    <t>平内町立小湊</t>
  </si>
  <si>
    <t>ひらないちょうりつこみなとちゅうがっこう</t>
  </si>
  <si>
    <t>八戸市立東</t>
  </si>
  <si>
    <t>はちのへしりつひがし</t>
  </si>
  <si>
    <t>大鰐町立大鰐</t>
  </si>
  <si>
    <t>おおわにちょうりつおおわにちゅうがっこう</t>
  </si>
  <si>
    <t>むつ市立田名部</t>
    <rPh sb="2" eb="4">
      <t>シリツ</t>
    </rPh>
    <rPh sb="4" eb="7">
      <t>タナブ</t>
    </rPh>
    <phoneticPr fontId="3"/>
  </si>
  <si>
    <t>むつしりつたなぶ</t>
  </si>
  <si>
    <t>三戸町立三戸</t>
  </si>
  <si>
    <t>青森市立油川</t>
  </si>
  <si>
    <t>あおもりしりつあぶらかわちゅうがっこう</t>
  </si>
  <si>
    <t>黒石市立黒石</t>
  </si>
  <si>
    <t>くろいししりつくろいしちゅうがっこう</t>
  </si>
  <si>
    <t>十和田市立十和田</t>
  </si>
  <si>
    <t>さんのへちょうりつさんのへちゅうがっこう</t>
    <phoneticPr fontId="2"/>
  </si>
  <si>
    <t>とわだしりつとわだちゅうがっこう</t>
    <phoneticPr fontId="2"/>
  </si>
  <si>
    <t>あおもりやまだちゅうがっこう</t>
    <phoneticPr fontId="2"/>
  </si>
  <si>
    <t>青森市立油川中学校</t>
    <rPh sb="6" eb="9">
      <t>チュウガッコウ</t>
    </rPh>
    <phoneticPr fontId="2"/>
  </si>
  <si>
    <t>青森山田中学校</t>
    <rPh sb="4" eb="7">
      <t>チュウガッコウ</t>
    </rPh>
    <phoneticPr fontId="2"/>
  </si>
  <si>
    <t>大鰐町立大鰐中学校</t>
    <rPh sb="6" eb="9">
      <t>チュウガッコウ</t>
    </rPh>
    <phoneticPr fontId="2"/>
  </si>
  <si>
    <t>黒石市立黒石中学校</t>
    <rPh sb="6" eb="9">
      <t>チュウガッコウ</t>
    </rPh>
    <phoneticPr fontId="2"/>
  </si>
  <si>
    <t>五所川原市立五所川原第一中学校</t>
    <rPh sb="12" eb="15">
      <t>チュウガッコウ</t>
    </rPh>
    <phoneticPr fontId="2"/>
  </si>
  <si>
    <t>三戸町立三戸中学校</t>
    <rPh sb="6" eb="9">
      <t>チュウガッコウ</t>
    </rPh>
    <phoneticPr fontId="2"/>
  </si>
  <si>
    <t>つがる市立車力中学校</t>
    <rPh sb="7" eb="10">
      <t>チュウガッコウ</t>
    </rPh>
    <phoneticPr fontId="2"/>
  </si>
  <si>
    <t>鶴田町立鶴田中学校</t>
    <rPh sb="6" eb="9">
      <t>チュウガッコウ</t>
    </rPh>
    <phoneticPr fontId="2"/>
  </si>
  <si>
    <t>東北町立東北中学校</t>
    <rPh sb="6" eb="9">
      <t>チュウガッコウ</t>
    </rPh>
    <phoneticPr fontId="2"/>
  </si>
  <si>
    <t>十和田市立十和田中学校</t>
    <rPh sb="8" eb="11">
      <t>チュウガッコウ</t>
    </rPh>
    <phoneticPr fontId="2"/>
  </si>
  <si>
    <t>中泊町立中里中学校</t>
    <rPh sb="6" eb="9">
      <t>チュウガッコウ</t>
    </rPh>
    <phoneticPr fontId="2"/>
  </si>
  <si>
    <t>八戸市立鮫中学校</t>
    <rPh sb="5" eb="8">
      <t>チュウガッコウ</t>
    </rPh>
    <phoneticPr fontId="2"/>
  </si>
  <si>
    <t>八戸市立下長中学校</t>
    <rPh sb="6" eb="9">
      <t>チュウガッコウ</t>
    </rPh>
    <phoneticPr fontId="2"/>
  </si>
  <si>
    <t>八戸市立東中学校</t>
    <rPh sb="5" eb="8">
      <t>チュウガッコウ</t>
    </rPh>
    <phoneticPr fontId="2"/>
  </si>
  <si>
    <t>平内町立小湊中学校</t>
    <rPh sb="6" eb="9">
      <t>チュウガッコウ</t>
    </rPh>
    <phoneticPr fontId="2"/>
  </si>
  <si>
    <t>弘前市立第一中学校</t>
    <rPh sb="6" eb="9">
      <t>チュウガッコウ</t>
    </rPh>
    <phoneticPr fontId="2"/>
  </si>
  <si>
    <t>藤崎町立明徳中学校</t>
    <rPh sb="6" eb="9">
      <t>チュウガッコウ</t>
    </rPh>
    <phoneticPr fontId="2"/>
  </si>
  <si>
    <t>むつ市立田名部中学校</t>
    <rPh sb="2" eb="4">
      <t>シリツ</t>
    </rPh>
    <rPh sb="4" eb="7">
      <t>タナブ</t>
    </rPh>
    <rPh sb="7" eb="10">
      <t>チュウガッコウ</t>
    </rPh>
    <phoneticPr fontId="3"/>
  </si>
  <si>
    <t>油川中学校</t>
    <rPh sb="0" eb="2">
      <t>アブラカワ</t>
    </rPh>
    <rPh sb="2" eb="5">
      <t>チュウガッコウ</t>
    </rPh>
    <phoneticPr fontId="2"/>
  </si>
  <si>
    <t>油川中</t>
    <rPh sb="0" eb="2">
      <t>アブラカワ</t>
    </rPh>
    <rPh sb="2" eb="3">
      <t>チュウ</t>
    </rPh>
    <phoneticPr fontId="2"/>
  </si>
  <si>
    <t>油川</t>
    <rPh sb="0" eb="2">
      <t>アブラカワ</t>
    </rPh>
    <phoneticPr fontId="2"/>
  </si>
  <si>
    <t>青森山田中</t>
    <rPh sb="4" eb="5">
      <t>チュウ</t>
    </rPh>
    <phoneticPr fontId="2"/>
  </si>
  <si>
    <t>青森山田</t>
    <phoneticPr fontId="2"/>
  </si>
  <si>
    <t>大鰐中学校</t>
    <rPh sb="0" eb="2">
      <t>オオワニ</t>
    </rPh>
    <rPh sb="2" eb="5">
      <t>チュウガッコウ</t>
    </rPh>
    <phoneticPr fontId="2"/>
  </si>
  <si>
    <t>大鰐中</t>
    <rPh sb="0" eb="2">
      <t>オオワニ</t>
    </rPh>
    <rPh sb="2" eb="3">
      <t>チュウ</t>
    </rPh>
    <phoneticPr fontId="2"/>
  </si>
  <si>
    <t>大鰐</t>
    <rPh sb="0" eb="2">
      <t>オオワニ</t>
    </rPh>
    <phoneticPr fontId="2"/>
  </si>
  <si>
    <t>黒石中学校</t>
    <rPh sb="0" eb="2">
      <t>クロイシ</t>
    </rPh>
    <rPh sb="2" eb="5">
      <t>チュウガッコウ</t>
    </rPh>
    <phoneticPr fontId="2"/>
  </si>
  <si>
    <t>黒石中</t>
    <rPh sb="0" eb="2">
      <t>クロイシ</t>
    </rPh>
    <rPh sb="2" eb="3">
      <t>チュウ</t>
    </rPh>
    <phoneticPr fontId="2"/>
  </si>
  <si>
    <t>黒石</t>
    <rPh sb="0" eb="2">
      <t>クロイシ</t>
    </rPh>
    <phoneticPr fontId="2"/>
  </si>
  <si>
    <t>五所川原第一中学校</t>
    <rPh sb="0" eb="4">
      <t>ゴショガワラ</t>
    </rPh>
    <rPh sb="4" eb="6">
      <t>ダイイチ</t>
    </rPh>
    <rPh sb="6" eb="9">
      <t>チュウガッコウ</t>
    </rPh>
    <phoneticPr fontId="2"/>
  </si>
  <si>
    <t>五所川原一中</t>
    <rPh sb="0" eb="4">
      <t>ゴショガワラ</t>
    </rPh>
    <rPh sb="4" eb="5">
      <t>イチ</t>
    </rPh>
    <rPh sb="5" eb="6">
      <t>チュウ</t>
    </rPh>
    <phoneticPr fontId="2"/>
  </si>
  <si>
    <t>五所川原一</t>
    <rPh sb="0" eb="4">
      <t>ゴショガワラ</t>
    </rPh>
    <rPh sb="4" eb="5">
      <t>イチ</t>
    </rPh>
    <phoneticPr fontId="2"/>
  </si>
  <si>
    <t>三戸中学校</t>
    <rPh sb="0" eb="2">
      <t>サンノヘ</t>
    </rPh>
    <rPh sb="2" eb="5">
      <t>チュウガッコウ</t>
    </rPh>
    <phoneticPr fontId="2"/>
  </si>
  <si>
    <t>三戸中</t>
    <rPh sb="0" eb="2">
      <t>サンノヘ</t>
    </rPh>
    <rPh sb="2" eb="3">
      <t>チュウ</t>
    </rPh>
    <phoneticPr fontId="2"/>
  </si>
  <si>
    <t>三戸</t>
    <rPh sb="0" eb="2">
      <t>サンノヘ</t>
    </rPh>
    <phoneticPr fontId="2"/>
  </si>
  <si>
    <t>車力中学校</t>
    <rPh sb="0" eb="2">
      <t>シャリキ</t>
    </rPh>
    <rPh sb="2" eb="5">
      <t>チュウガッコウ</t>
    </rPh>
    <phoneticPr fontId="2"/>
  </si>
  <si>
    <t>車力中</t>
    <rPh sb="0" eb="2">
      <t>シャリキ</t>
    </rPh>
    <rPh sb="2" eb="3">
      <t>チュウ</t>
    </rPh>
    <phoneticPr fontId="2"/>
  </si>
  <si>
    <t>車力</t>
    <rPh sb="0" eb="2">
      <t>シャリキ</t>
    </rPh>
    <phoneticPr fontId="2"/>
  </si>
  <si>
    <t>鶴田中学校</t>
    <rPh sb="0" eb="2">
      <t>ツルタ</t>
    </rPh>
    <rPh sb="2" eb="5">
      <t>チュウガッコウ</t>
    </rPh>
    <phoneticPr fontId="2"/>
  </si>
  <si>
    <t>鶴田中</t>
    <rPh sb="0" eb="2">
      <t>ツルタ</t>
    </rPh>
    <rPh sb="2" eb="3">
      <t>チュウ</t>
    </rPh>
    <phoneticPr fontId="2"/>
  </si>
  <si>
    <t>鶴田</t>
    <rPh sb="0" eb="2">
      <t>ツルタ</t>
    </rPh>
    <phoneticPr fontId="2"/>
  </si>
  <si>
    <t>東北中学校</t>
    <rPh sb="2" eb="5">
      <t>チュウガッコウ</t>
    </rPh>
    <phoneticPr fontId="2"/>
  </si>
  <si>
    <t>十和田中学校</t>
    <rPh sb="3" eb="6">
      <t>チュウガッコウ</t>
    </rPh>
    <phoneticPr fontId="2"/>
  </si>
  <si>
    <t>中里中学校</t>
    <rPh sb="2" eb="5">
      <t>チュウガッコウ</t>
    </rPh>
    <phoneticPr fontId="2"/>
  </si>
  <si>
    <t>鮫中学校</t>
    <rPh sb="1" eb="4">
      <t>チュウガッコウ</t>
    </rPh>
    <phoneticPr fontId="2"/>
  </si>
  <si>
    <t>下長中学校</t>
    <rPh sb="2" eb="5">
      <t>チュウガッコウ</t>
    </rPh>
    <phoneticPr fontId="2"/>
  </si>
  <si>
    <t>小湊中学校</t>
    <rPh sb="2" eb="5">
      <t>チュウガッコウ</t>
    </rPh>
    <phoneticPr fontId="2"/>
  </si>
  <si>
    <t>弘前第一中学校</t>
    <rPh sb="4" eb="7">
      <t>チュウガッコウ</t>
    </rPh>
    <phoneticPr fontId="2"/>
  </si>
  <si>
    <t>明徳中学校</t>
    <rPh sb="2" eb="5">
      <t>チュウガッコウ</t>
    </rPh>
    <phoneticPr fontId="2"/>
  </si>
  <si>
    <t>田名部中学校</t>
    <rPh sb="0" eb="3">
      <t>タナブ</t>
    </rPh>
    <rPh sb="3" eb="6">
      <t>チュウガッコウ</t>
    </rPh>
    <phoneticPr fontId="3"/>
  </si>
  <si>
    <t>八戸東中学校</t>
    <rPh sb="0" eb="2">
      <t>ハチノヘ</t>
    </rPh>
    <rPh sb="3" eb="6">
      <t>チュウガッコウ</t>
    </rPh>
    <phoneticPr fontId="2"/>
  </si>
  <si>
    <t>東北</t>
    <phoneticPr fontId="2"/>
  </si>
  <si>
    <t>十和田中</t>
    <rPh sb="3" eb="4">
      <t>チュウ</t>
    </rPh>
    <phoneticPr fontId="2"/>
  </si>
  <si>
    <t>十和田</t>
    <phoneticPr fontId="2"/>
  </si>
  <si>
    <t>中里中</t>
    <rPh sb="2" eb="3">
      <t>チュウ</t>
    </rPh>
    <phoneticPr fontId="2"/>
  </si>
  <si>
    <t>中里</t>
    <phoneticPr fontId="2"/>
  </si>
  <si>
    <t>鮫中</t>
    <rPh sb="1" eb="2">
      <t>チュウ</t>
    </rPh>
    <phoneticPr fontId="2"/>
  </si>
  <si>
    <t>鮫</t>
    <phoneticPr fontId="2"/>
  </si>
  <si>
    <t>下長中</t>
    <rPh sb="2" eb="3">
      <t>チュウ</t>
    </rPh>
    <phoneticPr fontId="2"/>
  </si>
  <si>
    <t>下長</t>
    <phoneticPr fontId="2"/>
  </si>
  <si>
    <t>八戸東中</t>
    <rPh sb="0" eb="2">
      <t>ハチノヘ</t>
    </rPh>
    <rPh sb="3" eb="4">
      <t>チュウ</t>
    </rPh>
    <phoneticPr fontId="2"/>
  </si>
  <si>
    <t>八戸東</t>
    <rPh sb="0" eb="2">
      <t>ハチノヘ</t>
    </rPh>
    <phoneticPr fontId="2"/>
  </si>
  <si>
    <t>小湊中</t>
    <rPh sb="2" eb="3">
      <t>チュウ</t>
    </rPh>
    <phoneticPr fontId="2"/>
  </si>
  <si>
    <t>小湊</t>
    <phoneticPr fontId="2"/>
  </si>
  <si>
    <t>弘前一中</t>
    <rPh sb="3" eb="4">
      <t>チュウ</t>
    </rPh>
    <phoneticPr fontId="2"/>
  </si>
  <si>
    <t>弘前一</t>
    <phoneticPr fontId="2"/>
  </si>
  <si>
    <t>明徳中</t>
    <rPh sb="2" eb="3">
      <t>チュウ</t>
    </rPh>
    <phoneticPr fontId="2"/>
  </si>
  <si>
    <t>明徳</t>
    <phoneticPr fontId="2"/>
  </si>
  <si>
    <t>田名部中</t>
    <rPh sb="0" eb="3">
      <t>タナブ</t>
    </rPh>
    <rPh sb="3" eb="4">
      <t>チュウ</t>
    </rPh>
    <phoneticPr fontId="3"/>
  </si>
  <si>
    <t>田名部</t>
    <rPh sb="0" eb="3">
      <t>タナブ</t>
    </rPh>
    <phoneticPr fontId="3"/>
  </si>
  <si>
    <t>037-0006</t>
  </si>
  <si>
    <t>五所川原市松島町３－１</t>
  </si>
  <si>
    <t>0173-34-2302</t>
  </si>
  <si>
    <t>0173-35-2820</t>
    <phoneticPr fontId="2"/>
  </si>
  <si>
    <t>030-8520</t>
  </si>
  <si>
    <t>青森市青葉３丁目１３－４０</t>
  </si>
  <si>
    <t>017-762-5001</t>
  </si>
  <si>
    <t>017-762-5005</t>
  </si>
  <si>
    <t>036-8021</t>
  </si>
  <si>
    <t>0172-32-3949</t>
  </si>
  <si>
    <t>0172-32-3946</t>
  </si>
  <si>
    <t>039-1161</t>
  </si>
  <si>
    <t>八戸市大字河原木字河原木後７７－２</t>
  </si>
  <si>
    <t>0178-28-2745</t>
  </si>
  <si>
    <t>0178-21-1191</t>
  </si>
  <si>
    <t>038-3303</t>
  </si>
  <si>
    <t>0173-56-2023</t>
  </si>
  <si>
    <t>0173-56-2236</t>
  </si>
  <si>
    <t>038-1214</t>
  </si>
  <si>
    <t>0172-65-2218</t>
  </si>
  <si>
    <t>0172-65-4332</t>
  </si>
  <si>
    <t>弘前市和徳町３６３－１３</t>
    <phoneticPr fontId="2"/>
  </si>
  <si>
    <t>南津軽郡藤崎町大字常盤字一西田２１番地１</t>
    <phoneticPr fontId="2"/>
  </si>
  <si>
    <t>つがる市車力町屏風山１－２１４</t>
    <phoneticPr fontId="2"/>
  </si>
  <si>
    <t>北津軽郡鶴田町大字鶴田字渡舟80-1</t>
  </si>
  <si>
    <t>0173-22-3233</t>
    <phoneticPr fontId="2"/>
  </si>
  <si>
    <t>0173-22-3255</t>
    <phoneticPr fontId="2"/>
  </si>
  <si>
    <t>031-0841</t>
  </si>
  <si>
    <t>八戸市大字鮫町字古馬屋２３－５</t>
  </si>
  <si>
    <t>0178-33-0727</t>
  </si>
  <si>
    <t>0178-32-1132</t>
  </si>
  <si>
    <t>039-2654</t>
  </si>
  <si>
    <t>038-3503</t>
    <phoneticPr fontId="2"/>
  </si>
  <si>
    <t>0175-63-2620</t>
  </si>
  <si>
    <t>0175-63-3390</t>
  </si>
  <si>
    <t>037-0305</t>
  </si>
  <si>
    <t>北津軽郡中泊町中里字宝森309番地</t>
    <phoneticPr fontId="2"/>
  </si>
  <si>
    <t>0173-57-2030</t>
  </si>
  <si>
    <t>0173-57-2106</t>
  </si>
  <si>
    <t>三沢市立第一</t>
  </si>
  <si>
    <t>みさわしりつだいいち</t>
  </si>
  <si>
    <t>三沢市立第一中学校</t>
    <rPh sb="6" eb="9">
      <t>チュウガッコウ</t>
    </rPh>
    <phoneticPr fontId="2"/>
  </si>
  <si>
    <t>三沢第一中学校</t>
    <rPh sb="4" eb="7">
      <t>チュウガッコウ</t>
    </rPh>
    <phoneticPr fontId="2"/>
  </si>
  <si>
    <t>三沢一中</t>
    <rPh sb="3" eb="4">
      <t>チュウ</t>
    </rPh>
    <phoneticPr fontId="2"/>
  </si>
  <si>
    <t>三沢一</t>
    <rPh sb="0" eb="2">
      <t>ミサワ</t>
    </rPh>
    <rPh sb="2" eb="3">
      <t>イチ</t>
    </rPh>
    <phoneticPr fontId="2"/>
  </si>
  <si>
    <t>033-0037</t>
  </si>
  <si>
    <t>三沢市松園町二丁目１番３４号</t>
    <phoneticPr fontId="2"/>
  </si>
  <si>
    <t>上北郡東北町字塔ノ沢山１－１１</t>
    <phoneticPr fontId="2"/>
  </si>
  <si>
    <t>0176-53-3904</t>
  </si>
  <si>
    <t>0176-53-3941</t>
  </si>
  <si>
    <t>031-0823</t>
  </si>
  <si>
    <t>八戸市湊高台２－１４－８</t>
    <phoneticPr fontId="2"/>
  </si>
  <si>
    <t>0178-32-1130</t>
  </si>
  <si>
    <t>039-3321</t>
  </si>
  <si>
    <t>東津軽郡平内町小湊字後萢２１番地１</t>
    <phoneticPr fontId="2"/>
  </si>
  <si>
    <t>017-755-2038</t>
  </si>
  <si>
    <t>017-755-2108</t>
  </si>
  <si>
    <t>038-0221</t>
  </si>
  <si>
    <t>南津軽郡大鰐町虹貝字篠塚２４－１</t>
    <phoneticPr fontId="2"/>
  </si>
  <si>
    <t>0172-48-2224</t>
  </si>
  <si>
    <t>0172-48-2225</t>
  </si>
  <si>
    <t>036-0333</t>
  </si>
  <si>
    <t>黒石市柵ノ木４丁目１</t>
    <phoneticPr fontId="2"/>
  </si>
  <si>
    <t>0172-52-3703</t>
  </si>
  <si>
    <t>0172-52-3725</t>
  </si>
  <si>
    <t>039-0112</t>
  </si>
  <si>
    <t>三戸郡三戸町大字梅内字権現林１</t>
    <phoneticPr fontId="2"/>
  </si>
  <si>
    <t>0179-22-1125</t>
  </si>
  <si>
    <t>0179-22-2796</t>
  </si>
  <si>
    <t>034-0035</t>
    <phoneticPr fontId="2"/>
  </si>
  <si>
    <t>十和田市東十六番町２７－１</t>
    <phoneticPr fontId="2"/>
  </si>
  <si>
    <t>0176-23-3727</t>
    <phoneticPr fontId="2"/>
  </si>
  <si>
    <t>0176-23-2317</t>
    <phoneticPr fontId="2"/>
  </si>
  <si>
    <t>038-0058</t>
  </si>
  <si>
    <t>青森市大字羽白字沢田４７１</t>
    <phoneticPr fontId="2"/>
  </si>
  <si>
    <t>017-788-0428</t>
  </si>
  <si>
    <t>017-788-0614</t>
  </si>
  <si>
    <t>宮古市立河南</t>
  </si>
  <si>
    <t>みやこしりつかなんちゅうがっこう</t>
  </si>
  <si>
    <t>北上市立江釣子</t>
  </si>
  <si>
    <t>きたかみしりつえづりこちゅうがっこう</t>
  </si>
  <si>
    <t>盛岡市立仙北</t>
  </si>
  <si>
    <t>もりおかしりつせんぼくちゅうがっこう</t>
  </si>
  <si>
    <t>花巻市立石鳥谷</t>
  </si>
  <si>
    <t>宮古市立第一</t>
  </si>
  <si>
    <t>みやこしりつだいいちちゅうがっこう</t>
  </si>
  <si>
    <t>大船渡市立大船渡</t>
  </si>
  <si>
    <t>おおふなとしりつおおふなとちゅうがっこう</t>
  </si>
  <si>
    <t>花巻市立大迫</t>
  </si>
  <si>
    <t>はなまきしりつおおはさまちゅうがっこう</t>
  </si>
  <si>
    <t>花巻市立東和</t>
  </si>
  <si>
    <t>はなまきしりつとうわちゅうがっこう</t>
  </si>
  <si>
    <t>大船渡市立日頃市</t>
  </si>
  <si>
    <t>おおふなとしりひころいちちゅうがっこう</t>
  </si>
  <si>
    <t>盛岡市立大宮</t>
  </si>
  <si>
    <t>もりおかしりつおおみや</t>
  </si>
  <si>
    <t>釜石市立釜石</t>
  </si>
  <si>
    <t>かまいししりつかまいしちゅうがっこう</t>
  </si>
  <si>
    <t>一戸町立一戸</t>
  </si>
  <si>
    <t>いちのへちょうりついちのへちゅうがっこう</t>
  </si>
  <si>
    <t>久慈市立長内</t>
  </si>
  <si>
    <t>くじしりつおさないちゅうがっこう</t>
  </si>
  <si>
    <t>奥州市立江刺第一</t>
  </si>
  <si>
    <t>おうしゅうしりつえさしだいいちちゅうがっこう</t>
  </si>
  <si>
    <t>宮古市立宮古西</t>
  </si>
  <si>
    <t>みやこしりつみやこにしちゅうがっこう</t>
  </si>
  <si>
    <t>奥州市立前沢</t>
  </si>
  <si>
    <t>おうしゅうしりつまえさわちゅうがっこう</t>
  </si>
  <si>
    <t>山田町立山田</t>
  </si>
  <si>
    <t>やまだちょうりつやまだ</t>
  </si>
  <si>
    <t>久慈市立久慈</t>
  </si>
  <si>
    <t>くじしりつくじ</t>
  </si>
  <si>
    <t>二戸市立福岡</t>
  </si>
  <si>
    <t>にのへしりつふくおかちゅうがっこう</t>
  </si>
  <si>
    <t>雫石町立雫石</t>
  </si>
  <si>
    <t>しずくいしちょうりつしずくいし</t>
  </si>
  <si>
    <t>盛岡市立厨川</t>
  </si>
  <si>
    <t>もりおかしりつくりやがわ</t>
  </si>
  <si>
    <t>盛岡市立見前南</t>
  </si>
  <si>
    <t>もりおかしりつみるまえみなみちゅうがっこう</t>
  </si>
  <si>
    <t>北上市立北上</t>
  </si>
  <si>
    <t>きたかみしりつきたかみちゅうがっこう</t>
  </si>
  <si>
    <t>陸前高田市立第一</t>
  </si>
  <si>
    <t>りくぜんたかたしりつだいいちちゅうがっこう</t>
  </si>
  <si>
    <t>滝沢市立滝沢第二</t>
  </si>
  <si>
    <t>たきざわしりつたきざわだいにちゅうがっこう</t>
  </si>
  <si>
    <t>洋野町立種市</t>
  </si>
  <si>
    <t>ひろのちょうりつたねいちちゅうがっこう</t>
  </si>
  <si>
    <t>はなまきしりついしとりやちゅうがっこう</t>
    <phoneticPr fontId="2"/>
  </si>
  <si>
    <t>一戸町立一戸中学校</t>
    <rPh sb="6" eb="9">
      <t>チュウガッコウ</t>
    </rPh>
    <phoneticPr fontId="2"/>
  </si>
  <si>
    <t>奥州市立江刺第一中学校</t>
    <rPh sb="8" eb="11">
      <t>チュウガッコウ</t>
    </rPh>
    <phoneticPr fontId="2"/>
  </si>
  <si>
    <t>奥州市立前沢中学校</t>
    <rPh sb="6" eb="9">
      <t>チュウガッコウ</t>
    </rPh>
    <phoneticPr fontId="2"/>
  </si>
  <si>
    <t>大船渡市立大船渡中学校</t>
    <rPh sb="8" eb="11">
      <t>チュウガッコウ</t>
    </rPh>
    <phoneticPr fontId="2"/>
  </si>
  <si>
    <t>大船渡市立日頃市中学校</t>
    <rPh sb="8" eb="11">
      <t>チュウガッコウ</t>
    </rPh>
    <phoneticPr fontId="2"/>
  </si>
  <si>
    <t>釜石市立釜石中学校</t>
    <rPh sb="6" eb="9">
      <t>チュウガッコウ</t>
    </rPh>
    <phoneticPr fontId="2"/>
  </si>
  <si>
    <t>北上市立江釣子中学校</t>
    <rPh sb="7" eb="10">
      <t>チュウガッコウ</t>
    </rPh>
    <phoneticPr fontId="2"/>
  </si>
  <si>
    <t>北上市立北上中学校</t>
    <rPh sb="6" eb="9">
      <t>チュウガッコウ</t>
    </rPh>
    <phoneticPr fontId="2"/>
  </si>
  <si>
    <t>久慈市立長内中学校</t>
    <rPh sb="6" eb="9">
      <t>チュウガッコウ</t>
    </rPh>
    <phoneticPr fontId="2"/>
  </si>
  <si>
    <t>久慈市立久慈中学校</t>
    <rPh sb="6" eb="9">
      <t>チュウガッコウ</t>
    </rPh>
    <phoneticPr fontId="2"/>
  </si>
  <si>
    <t>雫石町立雫石中学校</t>
    <rPh sb="6" eb="9">
      <t>チュウガッコウ</t>
    </rPh>
    <phoneticPr fontId="2"/>
  </si>
  <si>
    <t>滝沢市立滝沢第二中学校</t>
    <rPh sb="8" eb="11">
      <t>チュウガッコウ</t>
    </rPh>
    <phoneticPr fontId="2"/>
  </si>
  <si>
    <t>二戸市立福岡中学校</t>
    <rPh sb="6" eb="9">
      <t>チュウガッコウ</t>
    </rPh>
    <phoneticPr fontId="2"/>
  </si>
  <si>
    <t>花巻市立石鳥谷中学校</t>
    <rPh sb="7" eb="10">
      <t>チュウガッコウ</t>
    </rPh>
    <phoneticPr fontId="2"/>
  </si>
  <si>
    <t>花巻市立大迫中学校</t>
    <rPh sb="6" eb="9">
      <t>チュウガッコウ</t>
    </rPh>
    <phoneticPr fontId="2"/>
  </si>
  <si>
    <t>花巻市立東和中学校</t>
    <rPh sb="6" eb="9">
      <t>チュウガッコウ</t>
    </rPh>
    <phoneticPr fontId="2"/>
  </si>
  <si>
    <t>洋野町立種市中学校</t>
    <rPh sb="6" eb="9">
      <t>チュウガッコウ</t>
    </rPh>
    <phoneticPr fontId="2"/>
  </si>
  <si>
    <t>宮古市立河南中学校</t>
    <rPh sb="6" eb="9">
      <t>チュウガッコウ</t>
    </rPh>
    <phoneticPr fontId="2"/>
  </si>
  <si>
    <t>宮古市立第一中学校</t>
    <rPh sb="6" eb="9">
      <t>チュウガッコウ</t>
    </rPh>
    <phoneticPr fontId="2"/>
  </si>
  <si>
    <t>宮古市立宮古西中学校</t>
    <rPh sb="7" eb="10">
      <t>チュウガッコウ</t>
    </rPh>
    <phoneticPr fontId="2"/>
  </si>
  <si>
    <t>盛岡市立大宮中学校</t>
    <rPh sb="6" eb="9">
      <t>チュウガッコウ</t>
    </rPh>
    <phoneticPr fontId="2"/>
  </si>
  <si>
    <t>盛岡市立厨川中学校</t>
    <rPh sb="6" eb="9">
      <t>チュウガッコウ</t>
    </rPh>
    <phoneticPr fontId="2"/>
  </si>
  <si>
    <t>盛岡市立仙北中学校</t>
    <rPh sb="6" eb="9">
      <t>チュウガッコウ</t>
    </rPh>
    <phoneticPr fontId="2"/>
  </si>
  <si>
    <t>盛岡市立見前南中学校</t>
    <rPh sb="7" eb="10">
      <t>チュウガッコウ</t>
    </rPh>
    <phoneticPr fontId="2"/>
  </si>
  <si>
    <t>山田町立山田中学校</t>
    <rPh sb="6" eb="9">
      <t>チュウガッコウ</t>
    </rPh>
    <phoneticPr fontId="2"/>
  </si>
  <si>
    <t>陸前高田市立第一中学校</t>
    <rPh sb="8" eb="11">
      <t>チュウガッコウ</t>
    </rPh>
    <phoneticPr fontId="2"/>
  </si>
  <si>
    <t>027-0039</t>
  </si>
  <si>
    <t>0193-62-2602</t>
  </si>
  <si>
    <t>0193-64-7459</t>
  </si>
  <si>
    <t>宮古市河南一丁目１番１号</t>
    <phoneticPr fontId="2"/>
  </si>
  <si>
    <t>024-0071</t>
  </si>
  <si>
    <t>北上市上江釣子１７－１７２－１</t>
    <phoneticPr fontId="2"/>
  </si>
  <si>
    <t>0197-77-2931</t>
  </si>
  <si>
    <t>0197-77-3804</t>
  </si>
  <si>
    <t>020-0861</t>
  </si>
  <si>
    <t>盛岡市仙北三丁目18番1号</t>
    <phoneticPr fontId="2"/>
  </si>
  <si>
    <t>019-636-0573</t>
  </si>
  <si>
    <t>019-636-2550</t>
  </si>
  <si>
    <t>028-3163</t>
  </si>
  <si>
    <t>花巻市石鳥谷町八幡６－３７－１</t>
    <phoneticPr fontId="2"/>
  </si>
  <si>
    <t>0198-45-3117</t>
  </si>
  <si>
    <t>0198-45-3118</t>
  </si>
  <si>
    <t>027-0052</t>
  </si>
  <si>
    <t>宮古市宮町二丁目５番７</t>
    <phoneticPr fontId="2"/>
  </si>
  <si>
    <t>0193-62-4209</t>
  </si>
  <si>
    <t>0193-63-1119</t>
  </si>
  <si>
    <t>022-0002</t>
  </si>
  <si>
    <t>大船渡市大船渡町字永沢94番地１</t>
  </si>
  <si>
    <t>028-3202</t>
  </si>
  <si>
    <t>花巻市大迫町外川目第27地割22番地１</t>
    <phoneticPr fontId="2"/>
  </si>
  <si>
    <t>0198-48-2221</t>
  </si>
  <si>
    <t>0198-48-2216</t>
  </si>
  <si>
    <t>026-0114</t>
    <phoneticPr fontId="2"/>
  </si>
  <si>
    <t>0198-42-4221</t>
    <phoneticPr fontId="2"/>
  </si>
  <si>
    <t>0198-42-4222</t>
    <phoneticPr fontId="2"/>
  </si>
  <si>
    <t>022-0005</t>
  </si>
  <si>
    <t>0192-28-2302</t>
  </si>
  <si>
    <t>0192-28-2303</t>
  </si>
  <si>
    <t>020-0866</t>
  </si>
  <si>
    <t>019-636-3926</t>
  </si>
  <si>
    <t>019-636-0718</t>
  </si>
  <si>
    <t>026-0034</t>
  </si>
  <si>
    <t>0193-23-5523</t>
  </si>
  <si>
    <t>0193-25-1340</t>
  </si>
  <si>
    <t>028-5312</t>
  </si>
  <si>
    <t>二戸郡一戸町一戸字砂森１２</t>
    <phoneticPr fontId="2"/>
  </si>
  <si>
    <t>0195-33-3185</t>
  </si>
  <si>
    <t>0195-33-3186</t>
  </si>
  <si>
    <t>028-0071</t>
  </si>
  <si>
    <t>久慈市小久慈町39-2-2</t>
    <phoneticPr fontId="2"/>
  </si>
  <si>
    <t>0194-53-3143</t>
  </si>
  <si>
    <t>0194-533144</t>
  </si>
  <si>
    <t>023-1101</t>
  </si>
  <si>
    <t>0197-35-1917</t>
  </si>
  <si>
    <t>0197-35-1918</t>
  </si>
  <si>
    <t>奥州市江刺区岩谷堂字小境１番地</t>
    <phoneticPr fontId="2"/>
  </si>
  <si>
    <t>大船渡市日頃市町字関谷60-1</t>
    <phoneticPr fontId="2"/>
  </si>
  <si>
    <t>釜石市中妻町１丁目６番８号</t>
    <phoneticPr fontId="2"/>
  </si>
  <si>
    <t>027-0041</t>
  </si>
  <si>
    <t>宮古市西ヶ丘二丁目１番１号</t>
    <phoneticPr fontId="2"/>
  </si>
  <si>
    <t>0193-62-4643</t>
  </si>
  <si>
    <t>0193-62-4655</t>
  </si>
  <si>
    <t>029-4201</t>
  </si>
  <si>
    <t>岩手県奥州市前沢区字久田31</t>
  </si>
  <si>
    <t>0197-56-3005</t>
  </si>
  <si>
    <t>0197-56-3003</t>
  </si>
  <si>
    <t>028-1361</t>
  </si>
  <si>
    <t>0193-82-2611</t>
  </si>
  <si>
    <t>0193-82-4141</t>
  </si>
  <si>
    <t>028-0024</t>
  </si>
  <si>
    <t>0194-53-4331</t>
  </si>
  <si>
    <t>0194-61-1206</t>
  </si>
  <si>
    <t>028-6101</t>
  </si>
  <si>
    <t>二戸市福岡字下川又２２-１</t>
    <phoneticPr fontId="2"/>
  </si>
  <si>
    <t>久慈市栄町３２－８８－５</t>
    <phoneticPr fontId="2"/>
  </si>
  <si>
    <t>下閉伊郡山田町織笠第14地割32番地１</t>
    <phoneticPr fontId="2"/>
  </si>
  <si>
    <t>盛岡市本宮字大宮５－１</t>
    <phoneticPr fontId="2"/>
  </si>
  <si>
    <t>020-0133</t>
  </si>
  <si>
    <t>盛岡市青山二丁目7番1号</t>
  </si>
  <si>
    <t>019-647-2253</t>
  </si>
  <si>
    <t>019-647-2255</t>
  </si>
  <si>
    <t>020-0833</t>
  </si>
  <si>
    <t>盛岡市西見前１６地割７３番地</t>
  </si>
  <si>
    <t>019-637-3722</t>
  </si>
  <si>
    <t>019-637-3723</t>
  </si>
  <si>
    <t>028-7913</t>
  </si>
  <si>
    <t>花巻市東和町土沢5区20番地</t>
    <phoneticPr fontId="2"/>
  </si>
  <si>
    <t>洋野町種市２５地割２９番地</t>
    <phoneticPr fontId="2"/>
  </si>
  <si>
    <t>0194-65-2138</t>
  </si>
  <si>
    <t>0194-65-5551</t>
  </si>
  <si>
    <t>020-0611</t>
  </si>
  <si>
    <t>岩手県　滝沢市　巣子　１５２番地91</t>
  </si>
  <si>
    <t>019-688-4907</t>
  </si>
  <si>
    <t>019-688-7160</t>
  </si>
  <si>
    <t>020-0544</t>
  </si>
  <si>
    <t>岩手県岩手郡雫石町柿木７４－１</t>
  </si>
  <si>
    <t>019-692-0321</t>
  </si>
  <si>
    <t>029-2205</t>
  </si>
  <si>
    <t>陸前高田市高田町字鳴石５－１</t>
  </si>
  <si>
    <t>0192-29-3921</t>
  </si>
  <si>
    <t>0192-29-3923</t>
  </si>
  <si>
    <t>0195-23-3325</t>
  </si>
  <si>
    <t>0195-23-3326</t>
  </si>
  <si>
    <t>北上市黒沢尻1丁目１－１</t>
  </si>
  <si>
    <t>0197-63-3129</t>
  </si>
  <si>
    <t>0197-63-3120</t>
  </si>
  <si>
    <t>潟上市立天王</t>
  </si>
  <si>
    <t>秋田市立飯島</t>
  </si>
  <si>
    <t>あきたしりついいじまちゅうがっこう</t>
  </si>
  <si>
    <t>男鹿市立男鹿北</t>
  </si>
  <si>
    <t>おがしりつおがきた</t>
  </si>
  <si>
    <t>男鹿市立男鹿東</t>
  </si>
  <si>
    <t>おがしりつおがひがしちゅうがっこう</t>
  </si>
  <si>
    <t>大仙市立大曲</t>
  </si>
  <si>
    <t>だいせんしりつおおまがりちゅうがっこう</t>
  </si>
  <si>
    <t>仙北市立角館</t>
  </si>
  <si>
    <t>せんぼくしりつかくのだてちゅうがっこう</t>
  </si>
  <si>
    <t>にかほ市立仁賀保</t>
  </si>
  <si>
    <t>にかほしりつにかほ</t>
  </si>
  <si>
    <t>羽後町立羽後</t>
  </si>
  <si>
    <t>うごちょうりつうごちゅうがっこう</t>
  </si>
  <si>
    <t>秋田市立勝平</t>
  </si>
  <si>
    <t>あきたしりつかつひらちゅうがっこう</t>
  </si>
  <si>
    <t>秋田市立御野場</t>
    <rPh sb="0" eb="2">
      <t>アキタ</t>
    </rPh>
    <rPh sb="2" eb="4">
      <t>シリツ</t>
    </rPh>
    <rPh sb="4" eb="7">
      <t>オノバ</t>
    </rPh>
    <phoneticPr fontId="3"/>
  </si>
  <si>
    <t>あきたしりつおのば</t>
  </si>
  <si>
    <t>五城目町立五城目第一</t>
  </si>
  <si>
    <t>ごじょうめちょうりつごじょうめだいいちちゅうがっこう</t>
  </si>
  <si>
    <t>由利本荘市立本荘北</t>
  </si>
  <si>
    <t>ゆりほんじょうしりつほんじょうきたちゅうがっこう</t>
  </si>
  <si>
    <t>秋田市立土崎</t>
  </si>
  <si>
    <t>あきたしりつつちざきちゅうがっこう</t>
  </si>
  <si>
    <t>秋田大学教育文化学部附属</t>
  </si>
  <si>
    <t>あきただいがくきょういくぶんかがくぶふぞく</t>
  </si>
  <si>
    <t>能代市立二ツ井</t>
  </si>
  <si>
    <t>のしろしりつふたついちゅうがっこう</t>
  </si>
  <si>
    <t>北秋田市立森吉</t>
  </si>
  <si>
    <t>きたあきたしりつもりよしちゅうがっこう</t>
  </si>
  <si>
    <t>秋田市立城南</t>
    <rPh sb="0" eb="2">
      <t>アキタ</t>
    </rPh>
    <rPh sb="2" eb="4">
      <t>シリツ</t>
    </rPh>
    <rPh sb="4" eb="6">
      <t>ジョウナン</t>
    </rPh>
    <phoneticPr fontId="3"/>
  </si>
  <si>
    <t>あきたしりつじょうなん</t>
  </si>
  <si>
    <t>羽後町立高瀬</t>
  </si>
  <si>
    <t>うごちょうりつたかせ</t>
  </si>
  <si>
    <t>秋田市立秋田北</t>
  </si>
  <si>
    <t>あきたしりつあきたきたちゅうがっこう</t>
  </si>
  <si>
    <t>大仙市立仙北</t>
  </si>
  <si>
    <t>だいせんしりつせんぼくちゅうがっこう</t>
  </si>
  <si>
    <t>潟上市立天王南</t>
  </si>
  <si>
    <t>かたがみしりつてんのうみなみちゅうがっこう</t>
  </si>
  <si>
    <t>横手清陵学院</t>
  </si>
  <si>
    <t>よこてせいりょうがくいん</t>
  </si>
  <si>
    <t>大仙市立協和</t>
    <rPh sb="0" eb="2">
      <t>ダイセン</t>
    </rPh>
    <rPh sb="2" eb="4">
      <t>シリツ</t>
    </rPh>
    <phoneticPr fontId="3"/>
  </si>
  <si>
    <t>だいせんしりつきょうわちゅうがっこう</t>
  </si>
  <si>
    <t>由利本荘市立本荘東</t>
  </si>
  <si>
    <t>ゆりほんじょうしりつほんじょうひがし</t>
  </si>
  <si>
    <t>かたがみしりつてんのうちゅうがっこう</t>
    <phoneticPr fontId="2"/>
  </si>
  <si>
    <t>湯沢市立湯沢南</t>
  </si>
  <si>
    <t>ゆざわしりつゆざわみなみちゅうがっこう</t>
  </si>
  <si>
    <t>潟上市立天王南中学校</t>
    <rPh sb="0" eb="1">
      <t>カタ</t>
    </rPh>
    <rPh sb="1" eb="2">
      <t>カミ</t>
    </rPh>
    <rPh sb="2" eb="4">
      <t>シリツ</t>
    </rPh>
    <rPh sb="4" eb="6">
      <t>テンノウ</t>
    </rPh>
    <rPh sb="6" eb="7">
      <t>ミナミ</t>
    </rPh>
    <rPh sb="7" eb="10">
      <t>チュウガッコウ</t>
    </rPh>
    <phoneticPr fontId="6"/>
  </si>
  <si>
    <t>天王南中学校</t>
    <rPh sb="0" eb="2">
      <t>テンノウ</t>
    </rPh>
    <rPh sb="2" eb="3">
      <t>ミナミ</t>
    </rPh>
    <rPh sb="3" eb="4">
      <t>チュウ</t>
    </rPh>
    <rPh sb="4" eb="6">
      <t>ガッコウ</t>
    </rPh>
    <phoneticPr fontId="6"/>
  </si>
  <si>
    <t>天王南中</t>
    <rPh sb="0" eb="2">
      <t>テンノウ</t>
    </rPh>
    <rPh sb="2" eb="3">
      <t>ミナミ</t>
    </rPh>
    <rPh sb="3" eb="4">
      <t>チュウ</t>
    </rPh>
    <phoneticPr fontId="6"/>
  </si>
  <si>
    <t>天王南</t>
    <rPh sb="0" eb="2">
      <t>テンノウ</t>
    </rPh>
    <rPh sb="2" eb="3">
      <t>ミナミ</t>
    </rPh>
    <phoneticPr fontId="6"/>
  </si>
  <si>
    <t>018-873-4300</t>
  </si>
  <si>
    <t>018-873-3373</t>
  </si>
  <si>
    <t>016-0101</t>
  </si>
  <si>
    <t>潟上市天王字北野４－３８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8">
      <t>キタノ</t>
    </rPh>
    <phoneticPr fontId="6"/>
  </si>
  <si>
    <t>湯沢市立雄勝中学校</t>
    <rPh sb="0" eb="4">
      <t>ユザワシリツ</t>
    </rPh>
    <rPh sb="4" eb="6">
      <t>オガチ</t>
    </rPh>
    <rPh sb="6" eb="9">
      <t>チュウガッコウ</t>
    </rPh>
    <phoneticPr fontId="6"/>
  </si>
  <si>
    <t>雄勝中学校</t>
    <rPh sb="0" eb="2">
      <t>オガチ</t>
    </rPh>
    <rPh sb="2" eb="5">
      <t>チュウガッコウ</t>
    </rPh>
    <phoneticPr fontId="6"/>
  </si>
  <si>
    <t>雄勝中</t>
    <rPh sb="0" eb="2">
      <t>オガチ</t>
    </rPh>
    <rPh sb="2" eb="3">
      <t>チュウ</t>
    </rPh>
    <phoneticPr fontId="6"/>
  </si>
  <si>
    <t>雄勝</t>
    <rPh sb="0" eb="2">
      <t>オガチ</t>
    </rPh>
    <phoneticPr fontId="6"/>
  </si>
  <si>
    <t>0183-52-2375</t>
  </si>
  <si>
    <t>0183-52-2314</t>
  </si>
  <si>
    <t>019-0204</t>
  </si>
  <si>
    <t>湯沢市横堀字中屋敷１０－６</t>
    <rPh sb="0" eb="3">
      <t>ユザワシ</t>
    </rPh>
    <rPh sb="3" eb="4">
      <t>ヨコ</t>
    </rPh>
    <rPh sb="4" eb="5">
      <t>ホリ</t>
    </rPh>
    <rPh sb="5" eb="6">
      <t>アザ</t>
    </rPh>
    <rPh sb="6" eb="9">
      <t>ナカヤシキ</t>
    </rPh>
    <phoneticPr fontId="6"/>
  </si>
  <si>
    <t>湯沢市立湯沢南中学校</t>
    <rPh sb="0" eb="4">
      <t>ユザワシリツ</t>
    </rPh>
    <rPh sb="4" eb="6">
      <t>ユザワ</t>
    </rPh>
    <rPh sb="6" eb="7">
      <t>ミナミ</t>
    </rPh>
    <rPh sb="7" eb="10">
      <t>チュウガッコウ</t>
    </rPh>
    <phoneticPr fontId="6"/>
  </si>
  <si>
    <t>湯沢南中学校</t>
    <rPh sb="0" eb="2">
      <t>ユザワ</t>
    </rPh>
    <rPh sb="2" eb="3">
      <t>ミナミ</t>
    </rPh>
    <rPh sb="3" eb="6">
      <t>チュウガッコウ</t>
    </rPh>
    <phoneticPr fontId="6"/>
  </si>
  <si>
    <t>湯沢南中</t>
    <rPh sb="0" eb="2">
      <t>ユザワ</t>
    </rPh>
    <rPh sb="2" eb="3">
      <t>ミナミ</t>
    </rPh>
    <rPh sb="3" eb="4">
      <t>チュウ</t>
    </rPh>
    <phoneticPr fontId="6"/>
  </si>
  <si>
    <t>湯沢南</t>
    <rPh sb="0" eb="2">
      <t>ユザワ</t>
    </rPh>
    <rPh sb="2" eb="3">
      <t>ミナミ</t>
    </rPh>
    <phoneticPr fontId="6"/>
  </si>
  <si>
    <t>0183-73-5145</t>
  </si>
  <si>
    <t>0183-72-1184</t>
  </si>
  <si>
    <t>012-0867</t>
  </si>
  <si>
    <t>羽後町立羽後中学校</t>
    <rPh sb="0" eb="2">
      <t>ウゴ</t>
    </rPh>
    <rPh sb="2" eb="4">
      <t>チョウリツ</t>
    </rPh>
    <rPh sb="4" eb="6">
      <t>ウゴ</t>
    </rPh>
    <rPh sb="6" eb="9">
      <t>チュウガッコウ</t>
    </rPh>
    <phoneticPr fontId="6"/>
  </si>
  <si>
    <t>羽後中学校</t>
    <rPh sb="0" eb="2">
      <t>ウゴ</t>
    </rPh>
    <rPh sb="2" eb="5">
      <t>チュウガッコウ</t>
    </rPh>
    <phoneticPr fontId="6"/>
  </si>
  <si>
    <t>羽後中</t>
    <rPh sb="0" eb="2">
      <t>ウゴ</t>
    </rPh>
    <rPh sb="2" eb="3">
      <t>チュウ</t>
    </rPh>
    <phoneticPr fontId="6"/>
  </si>
  <si>
    <t>羽後</t>
    <rPh sb="0" eb="2">
      <t>ウゴ</t>
    </rPh>
    <phoneticPr fontId="6"/>
  </si>
  <si>
    <t>0183-62-1144</t>
  </si>
  <si>
    <t>0183-62-1145</t>
  </si>
  <si>
    <t>012-1100</t>
  </si>
  <si>
    <t>雄勝郡羽後町字雄勝野１</t>
    <rPh sb="0" eb="2">
      <t>オガチ</t>
    </rPh>
    <rPh sb="2" eb="3">
      <t>グン</t>
    </rPh>
    <rPh sb="3" eb="6">
      <t>ウゴマチ</t>
    </rPh>
    <rPh sb="6" eb="7">
      <t>アザ</t>
    </rPh>
    <rPh sb="7" eb="9">
      <t>オガチ</t>
    </rPh>
    <rPh sb="9" eb="10">
      <t>ノ</t>
    </rPh>
    <phoneticPr fontId="6"/>
  </si>
  <si>
    <t>横手市立平鹿中学校</t>
    <rPh sb="0" eb="4">
      <t>ヨコテシリツ</t>
    </rPh>
    <rPh sb="4" eb="6">
      <t>ヒラカ</t>
    </rPh>
    <rPh sb="6" eb="9">
      <t>チュウガッコウ</t>
    </rPh>
    <phoneticPr fontId="6"/>
  </si>
  <si>
    <t>平鹿中学校</t>
    <rPh sb="0" eb="2">
      <t>ヒラカ</t>
    </rPh>
    <rPh sb="2" eb="5">
      <t>チュウガッコウ</t>
    </rPh>
    <phoneticPr fontId="6"/>
  </si>
  <si>
    <t>平鹿中</t>
    <rPh sb="0" eb="2">
      <t>ヒラカ</t>
    </rPh>
    <rPh sb="2" eb="3">
      <t>チュウ</t>
    </rPh>
    <phoneticPr fontId="6"/>
  </si>
  <si>
    <t>平鹿</t>
    <rPh sb="0" eb="2">
      <t>ヒラカ</t>
    </rPh>
    <phoneticPr fontId="6"/>
  </si>
  <si>
    <t>0182-24-0075</t>
  </si>
  <si>
    <t>0182-24-0076</t>
  </si>
  <si>
    <t>013-0105</t>
  </si>
  <si>
    <t>横手市平鹿町浅舞字一関向３－１</t>
    <rPh sb="0" eb="3">
      <t>ヨコテシ</t>
    </rPh>
    <rPh sb="3" eb="6">
      <t>ヒラカマチ</t>
    </rPh>
    <rPh sb="6" eb="7">
      <t>アサ</t>
    </rPh>
    <rPh sb="7" eb="8">
      <t>マイ</t>
    </rPh>
    <rPh sb="8" eb="9">
      <t>アザ</t>
    </rPh>
    <rPh sb="9" eb="11">
      <t>イチノセキ</t>
    </rPh>
    <rPh sb="11" eb="12">
      <t>ムカイ</t>
    </rPh>
    <phoneticPr fontId="6"/>
  </si>
  <si>
    <t>八郎潟町立八郎潟中学校</t>
    <rPh sb="0" eb="3">
      <t>ハチロウガタ</t>
    </rPh>
    <rPh sb="3" eb="5">
      <t>チョウリツ</t>
    </rPh>
    <rPh sb="5" eb="8">
      <t>ハチロウガタ</t>
    </rPh>
    <rPh sb="8" eb="11">
      <t>チュウガッコウ</t>
    </rPh>
    <phoneticPr fontId="6"/>
  </si>
  <si>
    <t>八郎潟中学校</t>
    <rPh sb="0" eb="3">
      <t>ハチロウガタ</t>
    </rPh>
    <rPh sb="3" eb="6">
      <t>チュウガッコウ</t>
    </rPh>
    <phoneticPr fontId="6"/>
  </si>
  <si>
    <t>八郎潟中</t>
    <rPh sb="0" eb="3">
      <t>ハチロウガタ</t>
    </rPh>
    <rPh sb="3" eb="4">
      <t>チュウ</t>
    </rPh>
    <phoneticPr fontId="6"/>
  </si>
  <si>
    <t>八郎潟</t>
    <rPh sb="0" eb="3">
      <t>ハチロウガタ</t>
    </rPh>
    <phoneticPr fontId="6"/>
  </si>
  <si>
    <t>018-875-2053</t>
  </si>
  <si>
    <t>018-875-5733</t>
  </si>
  <si>
    <t>018-1606</t>
  </si>
  <si>
    <t>南秋田郡八郎潟町夜叉袋字大嶋田１０７</t>
    <rPh sb="0" eb="4">
      <t>ミナミアキタグン</t>
    </rPh>
    <rPh sb="4" eb="8">
      <t>ハチロウガタマチ</t>
    </rPh>
    <rPh sb="8" eb="10">
      <t>ヤシャ</t>
    </rPh>
    <rPh sb="10" eb="11">
      <t>フクロ</t>
    </rPh>
    <rPh sb="11" eb="12">
      <t>アザ</t>
    </rPh>
    <rPh sb="12" eb="14">
      <t>オオシマ</t>
    </rPh>
    <rPh sb="14" eb="15">
      <t>タ</t>
    </rPh>
    <phoneticPr fontId="6"/>
  </si>
  <si>
    <t>橫手市立橫手南中学校</t>
  </si>
  <si>
    <t>横手南中学校</t>
    <rPh sb="0" eb="2">
      <t>ヨコテ</t>
    </rPh>
    <rPh sb="2" eb="3">
      <t>ミナミ</t>
    </rPh>
    <rPh sb="3" eb="6">
      <t>チュウガッコウ</t>
    </rPh>
    <phoneticPr fontId="4"/>
  </si>
  <si>
    <t>横手南中</t>
    <rPh sb="0" eb="2">
      <t>ヨコテ</t>
    </rPh>
    <rPh sb="2" eb="3">
      <t>ミナミ</t>
    </rPh>
    <rPh sb="3" eb="4">
      <t>チュウ</t>
    </rPh>
    <phoneticPr fontId="4"/>
  </si>
  <si>
    <t>横手南</t>
    <rPh sb="0" eb="2">
      <t>ヨコテ</t>
    </rPh>
    <rPh sb="2" eb="3">
      <t>ミナミ</t>
    </rPh>
    <phoneticPr fontId="4"/>
  </si>
  <si>
    <t>0182-32-3108</t>
  </si>
  <si>
    <t>0182-33-7568</t>
  </si>
  <si>
    <t>013-0064</t>
  </si>
  <si>
    <t>秋田県橫手市赤坂字郷土館３２－１</t>
  </si>
  <si>
    <t>秋田市立御野場中学校</t>
  </si>
  <si>
    <t>御野場中学校</t>
  </si>
  <si>
    <t>御野場中</t>
  </si>
  <si>
    <t>御野場</t>
  </si>
  <si>
    <t>018-839-0681</t>
  </si>
  <si>
    <t>018-839-0682</t>
  </si>
  <si>
    <t>010-1423</t>
  </si>
  <si>
    <t>秋田市立秋田北中学校</t>
    <rPh sb="7" eb="10">
      <t>チュウガッコウ</t>
    </rPh>
    <phoneticPr fontId="2"/>
  </si>
  <si>
    <t>秋田市立飯島中学校</t>
    <rPh sb="6" eb="9">
      <t>チュウガッコウ</t>
    </rPh>
    <phoneticPr fontId="2"/>
  </si>
  <si>
    <t>秋田市立勝平中学校</t>
    <rPh sb="6" eb="9">
      <t>チュウガッコウ</t>
    </rPh>
    <phoneticPr fontId="2"/>
  </si>
  <si>
    <t>秋田市立城南中学校</t>
    <rPh sb="0" eb="2">
      <t>アキタ</t>
    </rPh>
    <rPh sb="2" eb="4">
      <t>シリツ</t>
    </rPh>
    <rPh sb="4" eb="6">
      <t>ジョウナン</t>
    </rPh>
    <rPh sb="6" eb="9">
      <t>チュウガッコウ</t>
    </rPh>
    <phoneticPr fontId="3"/>
  </si>
  <si>
    <t>秋田市立土崎中学校</t>
    <rPh sb="6" eb="9">
      <t>チュウガッコウ</t>
    </rPh>
    <phoneticPr fontId="2"/>
  </si>
  <si>
    <t>秋田大学教育文化学部附属中学校</t>
    <rPh sb="12" eb="15">
      <t>チュウガッコウ</t>
    </rPh>
    <phoneticPr fontId="2"/>
  </si>
  <si>
    <t>羽後町立高瀬中学校</t>
    <rPh sb="6" eb="9">
      <t>チュウガッコウ</t>
    </rPh>
    <phoneticPr fontId="2"/>
  </si>
  <si>
    <t>男鹿市立男鹿北中学校</t>
    <rPh sb="7" eb="10">
      <t>チュウガッコウ</t>
    </rPh>
    <phoneticPr fontId="2"/>
  </si>
  <si>
    <t>男鹿市立男鹿東中学校</t>
    <rPh sb="7" eb="10">
      <t>チュウガッコウ</t>
    </rPh>
    <phoneticPr fontId="2"/>
  </si>
  <si>
    <t>潟上市立天王中学校</t>
    <rPh sb="6" eb="9">
      <t>チュウガッコウ</t>
    </rPh>
    <phoneticPr fontId="2"/>
  </si>
  <si>
    <t>北秋田市立森吉中学校</t>
    <rPh sb="7" eb="10">
      <t>チュウガッコウ</t>
    </rPh>
    <phoneticPr fontId="2"/>
  </si>
  <si>
    <t>五城目町立五城目第一中学校</t>
    <rPh sb="10" eb="13">
      <t>チュウガッコウ</t>
    </rPh>
    <phoneticPr fontId="2"/>
  </si>
  <si>
    <t>仙北市立角館中学校</t>
    <rPh sb="6" eb="9">
      <t>チュウガッコウ</t>
    </rPh>
    <phoneticPr fontId="2"/>
  </si>
  <si>
    <t>大仙市立大曲中学校</t>
    <rPh sb="6" eb="9">
      <t>チュウガッコウ</t>
    </rPh>
    <phoneticPr fontId="2"/>
  </si>
  <si>
    <t>大仙市立協和中学校</t>
    <rPh sb="0" eb="2">
      <t>ダイセン</t>
    </rPh>
    <rPh sb="2" eb="4">
      <t>シリツ</t>
    </rPh>
    <rPh sb="6" eb="9">
      <t>チュウガッコウ</t>
    </rPh>
    <phoneticPr fontId="3"/>
  </si>
  <si>
    <t>大仙市立仙北中学校</t>
    <rPh sb="6" eb="9">
      <t>チュウガッコウ</t>
    </rPh>
    <phoneticPr fontId="2"/>
  </si>
  <si>
    <t>にかほ市立仁賀保中学校</t>
    <rPh sb="8" eb="11">
      <t>チュウガッコウ</t>
    </rPh>
    <phoneticPr fontId="2"/>
  </si>
  <si>
    <t>能代市立二ツ井中学校</t>
    <rPh sb="7" eb="10">
      <t>チュウガッコウ</t>
    </rPh>
    <phoneticPr fontId="2"/>
  </si>
  <si>
    <t>由利本荘市立本荘北中学校</t>
    <rPh sb="9" eb="12">
      <t>チュウガッコウ</t>
    </rPh>
    <phoneticPr fontId="2"/>
  </si>
  <si>
    <t>由利本荘市立本荘東中学校</t>
    <rPh sb="9" eb="12">
      <t>チュウガッコウ</t>
    </rPh>
    <phoneticPr fontId="2"/>
  </si>
  <si>
    <t>横手清陵学院中学校</t>
    <rPh sb="6" eb="9">
      <t>チュウガッコウ</t>
    </rPh>
    <phoneticPr fontId="2"/>
  </si>
  <si>
    <t>秋田北中学校</t>
    <rPh sb="3" eb="6">
      <t>チュウガッコウ</t>
    </rPh>
    <phoneticPr fontId="2"/>
  </si>
  <si>
    <t>飯島中学校</t>
    <rPh sb="2" eb="5">
      <t>チュウガッコウ</t>
    </rPh>
    <phoneticPr fontId="2"/>
  </si>
  <si>
    <t>勝平中学校</t>
    <rPh sb="2" eb="5">
      <t>チュウガッコウ</t>
    </rPh>
    <phoneticPr fontId="2"/>
  </si>
  <si>
    <t>城南中学校</t>
    <rPh sb="0" eb="2">
      <t>ジョウナン</t>
    </rPh>
    <rPh sb="2" eb="5">
      <t>チュウガッコウ</t>
    </rPh>
    <phoneticPr fontId="3"/>
  </si>
  <si>
    <t>土崎中学校</t>
    <rPh sb="2" eb="5">
      <t>チュウガッコウ</t>
    </rPh>
    <phoneticPr fontId="2"/>
  </si>
  <si>
    <t>秋田大学附属中学校</t>
    <rPh sb="6" eb="9">
      <t>チュウガッコウ</t>
    </rPh>
    <phoneticPr fontId="2"/>
  </si>
  <si>
    <t>高瀬中学校</t>
    <rPh sb="2" eb="5">
      <t>チュウガッコウ</t>
    </rPh>
    <phoneticPr fontId="2"/>
  </si>
  <si>
    <t>男鹿北中学校</t>
    <rPh sb="3" eb="6">
      <t>チュウガッコウ</t>
    </rPh>
    <phoneticPr fontId="2"/>
  </si>
  <si>
    <t>男鹿東中学校</t>
    <rPh sb="3" eb="6">
      <t>チュウガッコウ</t>
    </rPh>
    <phoneticPr fontId="2"/>
  </si>
  <si>
    <t>天王中学校</t>
    <rPh sb="2" eb="5">
      <t>チュウガッコウ</t>
    </rPh>
    <phoneticPr fontId="2"/>
  </si>
  <si>
    <t>森吉中学校</t>
    <rPh sb="2" eb="5">
      <t>チュウガッコウ</t>
    </rPh>
    <phoneticPr fontId="2"/>
  </si>
  <si>
    <t>五城目第一中学校</t>
    <rPh sb="5" eb="8">
      <t>チュウガッコウ</t>
    </rPh>
    <phoneticPr fontId="2"/>
  </si>
  <si>
    <t>角館中学校</t>
    <rPh sb="2" eb="5">
      <t>チュウガッコウ</t>
    </rPh>
    <phoneticPr fontId="2"/>
  </si>
  <si>
    <t>大曲中学校</t>
    <rPh sb="2" eb="5">
      <t>チュウガッコウ</t>
    </rPh>
    <phoneticPr fontId="2"/>
  </si>
  <si>
    <t>協和中学校</t>
    <rPh sb="0" eb="2">
      <t>キョウワ</t>
    </rPh>
    <rPh sb="2" eb="5">
      <t>チュウガッコウ</t>
    </rPh>
    <phoneticPr fontId="3"/>
  </si>
  <si>
    <t>仁賀保中学校</t>
    <rPh sb="3" eb="6">
      <t>チュウガッコウ</t>
    </rPh>
    <phoneticPr fontId="2"/>
  </si>
  <si>
    <t>二ツ井中学校</t>
    <rPh sb="3" eb="6">
      <t>チュウガッコウ</t>
    </rPh>
    <phoneticPr fontId="2"/>
  </si>
  <si>
    <t>本荘北中学校</t>
    <rPh sb="3" eb="6">
      <t>チュウガッコウ</t>
    </rPh>
    <phoneticPr fontId="2"/>
  </si>
  <si>
    <t>本荘東中学校</t>
    <rPh sb="3" eb="6">
      <t>チュウガッコウ</t>
    </rPh>
    <phoneticPr fontId="2"/>
  </si>
  <si>
    <t>秋田北中</t>
    <phoneticPr fontId="2"/>
  </si>
  <si>
    <t>飯島中</t>
    <rPh sb="2" eb="3">
      <t>チュウ</t>
    </rPh>
    <phoneticPr fontId="2"/>
  </si>
  <si>
    <t>勝平中</t>
    <rPh sb="2" eb="3">
      <t>チュウ</t>
    </rPh>
    <phoneticPr fontId="2"/>
  </si>
  <si>
    <t>城南中</t>
    <rPh sb="0" eb="2">
      <t>ジョウナン</t>
    </rPh>
    <rPh sb="2" eb="3">
      <t>チュウ</t>
    </rPh>
    <phoneticPr fontId="3"/>
  </si>
  <si>
    <t>土崎中</t>
    <rPh sb="2" eb="3">
      <t>チュウ</t>
    </rPh>
    <phoneticPr fontId="2"/>
  </si>
  <si>
    <t>秋田大附属中</t>
    <rPh sb="5" eb="6">
      <t>チュウ</t>
    </rPh>
    <phoneticPr fontId="2"/>
  </si>
  <si>
    <t>高瀬中</t>
    <rPh sb="2" eb="3">
      <t>チュウ</t>
    </rPh>
    <phoneticPr fontId="2"/>
  </si>
  <si>
    <t>男鹿北中</t>
    <rPh sb="3" eb="4">
      <t>チュウ</t>
    </rPh>
    <phoneticPr fontId="2"/>
  </si>
  <si>
    <t>男鹿東中</t>
    <rPh sb="3" eb="4">
      <t>チュウ</t>
    </rPh>
    <phoneticPr fontId="2"/>
  </si>
  <si>
    <t>天王中</t>
    <rPh sb="2" eb="3">
      <t>チュウ</t>
    </rPh>
    <phoneticPr fontId="2"/>
  </si>
  <si>
    <t>森吉中</t>
    <rPh sb="2" eb="3">
      <t>チュウ</t>
    </rPh>
    <phoneticPr fontId="2"/>
  </si>
  <si>
    <t>角館中</t>
    <rPh sb="2" eb="3">
      <t>チュウ</t>
    </rPh>
    <phoneticPr fontId="2"/>
  </si>
  <si>
    <t>大曲中</t>
    <rPh sb="2" eb="3">
      <t>チュウ</t>
    </rPh>
    <phoneticPr fontId="2"/>
  </si>
  <si>
    <t>協和中</t>
    <rPh sb="0" eb="2">
      <t>キョウワ</t>
    </rPh>
    <rPh sb="2" eb="3">
      <t>チュウ</t>
    </rPh>
    <phoneticPr fontId="3"/>
  </si>
  <si>
    <t>仁賀保中</t>
    <rPh sb="3" eb="4">
      <t>チュウ</t>
    </rPh>
    <phoneticPr fontId="2"/>
  </si>
  <si>
    <t>二ツ井中</t>
    <rPh sb="3" eb="4">
      <t>チュウ</t>
    </rPh>
    <phoneticPr fontId="2"/>
  </si>
  <si>
    <t>本荘北中</t>
    <phoneticPr fontId="2"/>
  </si>
  <si>
    <t>本荘東中</t>
    <rPh sb="3" eb="4">
      <t>チュウ</t>
    </rPh>
    <phoneticPr fontId="2"/>
  </si>
  <si>
    <t>横手清陵中</t>
    <rPh sb="4" eb="5">
      <t>チュウ</t>
    </rPh>
    <phoneticPr fontId="2"/>
  </si>
  <si>
    <t>五城目一中</t>
    <rPh sb="4" eb="5">
      <t>チュウ</t>
    </rPh>
    <phoneticPr fontId="2"/>
  </si>
  <si>
    <t>秋田北</t>
    <phoneticPr fontId="2"/>
  </si>
  <si>
    <t>飯島</t>
    <phoneticPr fontId="2"/>
  </si>
  <si>
    <t>勝平</t>
    <phoneticPr fontId="2"/>
  </si>
  <si>
    <t>城南</t>
    <rPh sb="0" eb="2">
      <t>ジョウナン</t>
    </rPh>
    <phoneticPr fontId="3"/>
  </si>
  <si>
    <t>土崎</t>
    <phoneticPr fontId="2"/>
  </si>
  <si>
    <t>秋田大附属</t>
    <phoneticPr fontId="2"/>
  </si>
  <si>
    <t>高瀬</t>
    <phoneticPr fontId="2"/>
  </si>
  <si>
    <t>男鹿北</t>
    <phoneticPr fontId="2"/>
  </si>
  <si>
    <t>男鹿東</t>
    <phoneticPr fontId="2"/>
  </si>
  <si>
    <t>天王</t>
    <phoneticPr fontId="2"/>
  </si>
  <si>
    <t>森吉</t>
    <phoneticPr fontId="2"/>
  </si>
  <si>
    <t>五城目一</t>
    <phoneticPr fontId="2"/>
  </si>
  <si>
    <t>角館</t>
    <phoneticPr fontId="2"/>
  </si>
  <si>
    <t>大曲</t>
    <phoneticPr fontId="2"/>
  </si>
  <si>
    <t>協和</t>
    <rPh sb="0" eb="2">
      <t>キョウワ</t>
    </rPh>
    <phoneticPr fontId="3"/>
  </si>
  <si>
    <t>仁賀保</t>
    <phoneticPr fontId="2"/>
  </si>
  <si>
    <t>二ツ井</t>
    <phoneticPr fontId="2"/>
  </si>
  <si>
    <t>本荘北</t>
    <phoneticPr fontId="2"/>
  </si>
  <si>
    <t>本荘東</t>
    <phoneticPr fontId="2"/>
  </si>
  <si>
    <t>横手清陵</t>
    <phoneticPr fontId="2"/>
  </si>
  <si>
    <t>010-0201</t>
  </si>
  <si>
    <t>潟上市天王字宮ノ後３</t>
    <phoneticPr fontId="2"/>
  </si>
  <si>
    <t>018-878-2222</t>
  </si>
  <si>
    <t>018-878-2309</t>
  </si>
  <si>
    <t>011-0911</t>
  </si>
  <si>
    <t>秋田市飯島字田尻堰越４８</t>
    <phoneticPr fontId="2"/>
  </si>
  <si>
    <t>018-846-3481</t>
  </si>
  <si>
    <t>018-846-3482</t>
  </si>
  <si>
    <t>010-0683</t>
  </si>
  <si>
    <t>0185-33-2020</t>
  </si>
  <si>
    <t>0185-33-2581</t>
  </si>
  <si>
    <t>010-0341</t>
  </si>
  <si>
    <t>秋田市仁井田字中新田２２３</t>
    <phoneticPr fontId="2"/>
  </si>
  <si>
    <t>男鹿市北浦北浦字山王林４０番地</t>
    <phoneticPr fontId="2"/>
  </si>
  <si>
    <t>男鹿市船越字根木１６９番地</t>
    <phoneticPr fontId="2"/>
  </si>
  <si>
    <t>0185-25-3215</t>
  </si>
  <si>
    <t>0185-25-3214</t>
  </si>
  <si>
    <t>014-0016</t>
  </si>
  <si>
    <t>0187-63-2222</t>
  </si>
  <si>
    <t>0187-63-2221</t>
  </si>
  <si>
    <t>014-0347</t>
  </si>
  <si>
    <t>仙北市角館町小勝田小倉前７３</t>
    <phoneticPr fontId="2"/>
  </si>
  <si>
    <t>大仙市若竹町７－１７</t>
    <phoneticPr fontId="2"/>
  </si>
  <si>
    <t>0187-53-2411</t>
  </si>
  <si>
    <t>0187-53-2420</t>
  </si>
  <si>
    <t>018-0411</t>
  </si>
  <si>
    <t>にかほ市院内字ヒシカタ４０</t>
    <phoneticPr fontId="2"/>
  </si>
  <si>
    <t>0184-36-2121</t>
  </si>
  <si>
    <t>0184-36-2122</t>
  </si>
  <si>
    <t>010-1608</t>
  </si>
  <si>
    <t>秋田市新屋北浜町１３番１号</t>
  </si>
  <si>
    <t>018-863-7782</t>
  </si>
  <si>
    <t>018-863-7784</t>
  </si>
  <si>
    <t>015-0014</t>
  </si>
  <si>
    <t>由利本荘市石脇字山ノ神１１－３０４</t>
    <phoneticPr fontId="2"/>
  </si>
  <si>
    <t>0184-22-0321</t>
  </si>
  <si>
    <t>0184-23-2778</t>
  </si>
  <si>
    <t>018-3157</t>
  </si>
  <si>
    <t>能代市二ツ井町字下野７６番地２</t>
    <phoneticPr fontId="2"/>
  </si>
  <si>
    <t>0185-73-2711</t>
  </si>
  <si>
    <t>0185-73-2713</t>
  </si>
  <si>
    <t>湯沢市南台６番１号</t>
    <phoneticPr fontId="2"/>
  </si>
  <si>
    <t>018-4516</t>
  </si>
  <si>
    <t>北秋田市桂瀬字下柏木岱１</t>
    <phoneticPr fontId="2"/>
  </si>
  <si>
    <t>0186-73-2335</t>
  </si>
  <si>
    <t>0186-73-2612</t>
  </si>
  <si>
    <t>018-1711</t>
  </si>
  <si>
    <t>南秋田郡五城目町高崎字広ヶ野２００</t>
    <phoneticPr fontId="2"/>
  </si>
  <si>
    <t>018-852-2051</t>
  </si>
  <si>
    <t>018-852-4698</t>
  </si>
  <si>
    <t>015-0041</t>
  </si>
  <si>
    <t>0184-27-2311</t>
  </si>
  <si>
    <t>0184-27-2315</t>
  </si>
  <si>
    <t>由利本荘市薬師堂字境橋７７番地</t>
    <phoneticPr fontId="2"/>
  </si>
  <si>
    <t>019-2411</t>
    <phoneticPr fontId="2"/>
  </si>
  <si>
    <t>大仙市協和境字岸館90番地　</t>
    <phoneticPr fontId="2"/>
  </si>
  <si>
    <t>018-892-3025</t>
  </si>
  <si>
    <t>018-892-3209</t>
  </si>
  <si>
    <t>013-0041</t>
  </si>
  <si>
    <t>0182-35-4033</t>
  </si>
  <si>
    <t>0182-35-4034</t>
  </si>
  <si>
    <t>横手市大沢字前田147-1</t>
    <phoneticPr fontId="2"/>
  </si>
  <si>
    <t>014-0113</t>
  </si>
  <si>
    <t>大仙市堀見内字西福嶋２９</t>
    <phoneticPr fontId="2"/>
  </si>
  <si>
    <t>0187-69-2113</t>
  </si>
  <si>
    <t>0187-69-3262</t>
  </si>
  <si>
    <t>012-1241</t>
  </si>
  <si>
    <t>雄勝郡羽後町田代字畑中４５</t>
    <phoneticPr fontId="2"/>
  </si>
  <si>
    <t>0183-67-2323</t>
  </si>
  <si>
    <t>0183-67-2919</t>
  </si>
  <si>
    <t>010-0146</t>
  </si>
  <si>
    <t>秋田市下新城中野字街道端西２４１－９０</t>
    <phoneticPr fontId="2"/>
  </si>
  <si>
    <t>018-873-2411</t>
  </si>
  <si>
    <t>018-873-2020</t>
  </si>
  <si>
    <t>011-0941</t>
  </si>
  <si>
    <t>秋田市土崎港北１丁目３－１</t>
  </si>
  <si>
    <t>018-845-0406</t>
  </si>
  <si>
    <t>018-845-1251</t>
  </si>
  <si>
    <t>010-0904</t>
  </si>
  <si>
    <t>秋田市保戸野原の町７番７５号</t>
  </si>
  <si>
    <t>018-862-3350</t>
  </si>
  <si>
    <t>018-863-2507</t>
  </si>
  <si>
    <t>山形市立蔵王第一</t>
  </si>
  <si>
    <t>やまがたしりつざおうだいいち</t>
  </si>
  <si>
    <t>大石田町立大石田</t>
  </si>
  <si>
    <t>おおいしだちょうりつおおいしだちゅうがっこう</t>
  </si>
  <si>
    <t>川西町立川西</t>
  </si>
  <si>
    <t>かわにしちょうりつかわにしちゅうがっこう</t>
  </si>
  <si>
    <t>鮭川村立鮭川</t>
  </si>
  <si>
    <t>さけがわそんりつ　さけがわちゅうがっこう</t>
  </si>
  <si>
    <t>山形市立第十</t>
  </si>
  <si>
    <t>やまがたしりつだいじゅうちゅうがっこう</t>
  </si>
  <si>
    <t>上山市立南</t>
  </si>
  <si>
    <t>やまがたけんかみのやましりつみなみちゅうがっこう</t>
  </si>
  <si>
    <t>米沢市立第一</t>
  </si>
  <si>
    <t>よねざわしりつだいいちちゅうがっこう</t>
  </si>
  <si>
    <t>東根市立第一</t>
  </si>
  <si>
    <t>ひがしねしりつだいいちちゅうがっこう</t>
  </si>
  <si>
    <t>東根市立神町</t>
  </si>
  <si>
    <t>ひがしねしりつじんまちちゅうがっこう</t>
  </si>
  <si>
    <t>山形市立第四</t>
  </si>
  <si>
    <t>やまがたしりつだいよんちゅうがっこう</t>
  </si>
  <si>
    <t>鶴岡市立櫛引</t>
  </si>
  <si>
    <t>つるおかしりつくしびきちゅうがっこう</t>
  </si>
  <si>
    <t>村山市立楯岡</t>
  </si>
  <si>
    <t>むらやましりつたておか</t>
  </si>
  <si>
    <t>天童市立第二</t>
  </si>
  <si>
    <t>てんどうしりつだいにちゅうがっこう</t>
  </si>
  <si>
    <t>山形市立第八</t>
  </si>
  <si>
    <t>やまがたしりつだいはちちゅうがっこう　　　　　　　</t>
  </si>
  <si>
    <t>鶴岡市立温海</t>
  </si>
  <si>
    <t>つるおかしりつあつみ</t>
  </si>
  <si>
    <t>山形市立第三</t>
  </si>
  <si>
    <t>やまがたしりつだいさん</t>
  </si>
  <si>
    <t>最上町立最上</t>
  </si>
  <si>
    <t>もがみちょうりつもがみちゅうがっこう</t>
  </si>
  <si>
    <t>山辺町立山辺</t>
  </si>
  <si>
    <t>やまのべちょうりつやまのべ</t>
  </si>
  <si>
    <t>鶴岡市立鶴岡第三</t>
  </si>
  <si>
    <t>つるおかしりつつるおかだいさん</t>
  </si>
  <si>
    <t>戸沢村立戸沢</t>
  </si>
  <si>
    <t>とざわそんりつとざわちゅうがっこう</t>
  </si>
  <si>
    <t>南陽市立沖郷</t>
  </si>
  <si>
    <t>なんようしりつおきごう</t>
  </si>
  <si>
    <t>庄内町立立川</t>
    <rPh sb="0" eb="2">
      <t>ショウナイ</t>
    </rPh>
    <rPh sb="2" eb="4">
      <t>チョウリツ</t>
    </rPh>
    <rPh sb="4" eb="6">
      <t>タチカワ</t>
    </rPh>
    <phoneticPr fontId="3"/>
  </si>
  <si>
    <t>しょうないちょうりつたちかわ</t>
  </si>
  <si>
    <t>山辺町立山辺中学校</t>
  </si>
  <si>
    <t>山辺中学校</t>
  </si>
  <si>
    <t>山辺中</t>
  </si>
  <si>
    <t>山辺</t>
  </si>
  <si>
    <t>023-664-5028</t>
  </si>
  <si>
    <t>023-664-5720</t>
  </si>
  <si>
    <t>990-0301</t>
  </si>
  <si>
    <t>山形市立第四中学校</t>
  </si>
  <si>
    <t>山形第四中学校</t>
  </si>
  <si>
    <t>山形四中</t>
  </si>
  <si>
    <t>山形四</t>
  </si>
  <si>
    <t>023-622-3904</t>
  </si>
  <si>
    <t>023-633-9801</t>
  </si>
  <si>
    <t>990-0067</t>
  </si>
  <si>
    <t>山形市花楯二丁目１０番４８号</t>
  </si>
  <si>
    <t>山形市立第六中学校</t>
    <rPh sb="0" eb="4">
      <t>ヤマガタシリツ</t>
    </rPh>
    <rPh sb="4" eb="5">
      <t>ダイ</t>
    </rPh>
    <rPh sb="5" eb="6">
      <t>ロク</t>
    </rPh>
    <rPh sb="6" eb="9">
      <t>チュウガッコウ</t>
    </rPh>
    <phoneticPr fontId="15"/>
  </si>
  <si>
    <t>山形第六中学校</t>
    <rPh sb="0" eb="2">
      <t>ヤマガタ</t>
    </rPh>
    <rPh sb="2" eb="3">
      <t>ダイ</t>
    </rPh>
    <rPh sb="3" eb="4">
      <t>ロク</t>
    </rPh>
    <rPh sb="4" eb="7">
      <t>チュウガッコウ</t>
    </rPh>
    <phoneticPr fontId="15"/>
  </si>
  <si>
    <t>山形六中</t>
    <rPh sb="0" eb="2">
      <t>ヤマガタ</t>
    </rPh>
    <rPh sb="2" eb="3">
      <t>ロク</t>
    </rPh>
    <rPh sb="3" eb="4">
      <t>チュウ</t>
    </rPh>
    <phoneticPr fontId="15"/>
  </si>
  <si>
    <t>山形六</t>
    <rPh sb="0" eb="2">
      <t>ヤマガタ</t>
    </rPh>
    <rPh sb="2" eb="3">
      <t>ロク</t>
    </rPh>
    <phoneticPr fontId="15"/>
  </si>
  <si>
    <t>023-622-0314</t>
  </si>
  <si>
    <t>023-633-9803</t>
  </si>
  <si>
    <t>990-2413</t>
  </si>
  <si>
    <t>山形市南原町２－３－５５</t>
    <rPh sb="0" eb="3">
      <t>ヤマガタシ</t>
    </rPh>
    <rPh sb="3" eb="5">
      <t>ミナミハラ</t>
    </rPh>
    <rPh sb="5" eb="6">
      <t>マチ</t>
    </rPh>
    <phoneticPr fontId="15"/>
  </si>
  <si>
    <t>山形市立第八中学校</t>
  </si>
  <si>
    <t>山形第八中学校</t>
  </si>
  <si>
    <t>山形八中</t>
  </si>
  <si>
    <t>山形八</t>
  </si>
  <si>
    <t>023-643-2241</t>
  </si>
  <si>
    <t>023-645-8496</t>
  </si>
  <si>
    <t>990-2371</t>
  </si>
  <si>
    <t>山形市村木沢１６２０－２</t>
  </si>
  <si>
    <t>山形市立第九中学校</t>
  </si>
  <si>
    <t>山形第九中学校</t>
  </si>
  <si>
    <t>山形九中</t>
  </si>
  <si>
    <t>山形九</t>
  </si>
  <si>
    <t>023-688-2220</t>
  </si>
  <si>
    <t>023-688-9045</t>
  </si>
  <si>
    <t>990-2315</t>
  </si>
  <si>
    <t>山形市大字津金沢字中谷地６５７</t>
  </si>
  <si>
    <t>山形市立第十中学校</t>
  </si>
  <si>
    <t>山形第十中学校</t>
  </si>
  <si>
    <t>山形十中</t>
  </si>
  <si>
    <t>山形十</t>
  </si>
  <si>
    <t>023-643-1236</t>
  </si>
  <si>
    <t>023-645-8315</t>
  </si>
  <si>
    <t>990-2453</t>
  </si>
  <si>
    <t>山形市若宮１－１０－１２</t>
  </si>
  <si>
    <t>山形市立蔵王第一中学校</t>
    <rPh sb="0" eb="4">
      <t>ヤマガタシリツ</t>
    </rPh>
    <rPh sb="4" eb="6">
      <t>ザオウ</t>
    </rPh>
    <rPh sb="6" eb="8">
      <t>ダイイチ</t>
    </rPh>
    <rPh sb="8" eb="11">
      <t>チュウガッコウ</t>
    </rPh>
    <phoneticPr fontId="15"/>
  </si>
  <si>
    <t>蔵王第一中学校</t>
    <rPh sb="0" eb="2">
      <t>ザオウ</t>
    </rPh>
    <rPh sb="2" eb="4">
      <t>ダイイチ</t>
    </rPh>
    <rPh sb="4" eb="7">
      <t>チュウガッコウ</t>
    </rPh>
    <phoneticPr fontId="15"/>
  </si>
  <si>
    <t>蔵王一中</t>
    <rPh sb="0" eb="2">
      <t>ザオウ</t>
    </rPh>
    <rPh sb="2" eb="3">
      <t>イチ</t>
    </rPh>
    <rPh sb="3" eb="4">
      <t>チュウ</t>
    </rPh>
    <phoneticPr fontId="15"/>
  </si>
  <si>
    <t>蔵王一</t>
    <rPh sb="0" eb="2">
      <t>ザオウ</t>
    </rPh>
    <rPh sb="2" eb="3">
      <t>イチ</t>
    </rPh>
    <phoneticPr fontId="15"/>
  </si>
  <si>
    <t>023-688-2516</t>
  </si>
  <si>
    <t>023-688-9046</t>
  </si>
  <si>
    <t>山形市蔵王南成沢３４</t>
    <rPh sb="0" eb="3">
      <t>ヤマガタシ</t>
    </rPh>
    <rPh sb="3" eb="5">
      <t>ザオウ</t>
    </rPh>
    <rPh sb="5" eb="6">
      <t>ミナミ</t>
    </rPh>
    <rPh sb="6" eb="8">
      <t>ナルサワ</t>
    </rPh>
    <phoneticPr fontId="15"/>
  </si>
  <si>
    <t>南陽市立沖郷中学校</t>
    <rPh sb="0" eb="4">
      <t>ナンヨウシリツ</t>
    </rPh>
    <rPh sb="4" eb="5">
      <t>オキ</t>
    </rPh>
    <rPh sb="5" eb="6">
      <t>ゴウ</t>
    </rPh>
    <rPh sb="6" eb="9">
      <t>チュウガッコウ</t>
    </rPh>
    <phoneticPr fontId="15"/>
  </si>
  <si>
    <t>沖郷中学校</t>
    <rPh sb="0" eb="1">
      <t>オキ</t>
    </rPh>
    <rPh sb="1" eb="2">
      <t>ゴウ</t>
    </rPh>
    <rPh sb="2" eb="5">
      <t>チュウガッコウ</t>
    </rPh>
    <phoneticPr fontId="15"/>
  </si>
  <si>
    <t>沖郷中</t>
    <rPh sb="0" eb="1">
      <t>オキ</t>
    </rPh>
    <rPh sb="1" eb="2">
      <t>ゴウ</t>
    </rPh>
    <rPh sb="2" eb="3">
      <t>チュウ</t>
    </rPh>
    <phoneticPr fontId="15"/>
  </si>
  <si>
    <t>沖郷</t>
    <rPh sb="0" eb="1">
      <t>オキ</t>
    </rPh>
    <rPh sb="1" eb="2">
      <t>ゴウ</t>
    </rPh>
    <phoneticPr fontId="15"/>
  </si>
  <si>
    <t>0238-43-2271</t>
  </si>
  <si>
    <t>0238-43-2214</t>
  </si>
  <si>
    <t>999-2251</t>
  </si>
  <si>
    <t>南陽市高梨５９４－３</t>
    <rPh sb="0" eb="3">
      <t>ナンヨウシ</t>
    </rPh>
    <rPh sb="3" eb="5">
      <t>タカナシ</t>
    </rPh>
    <phoneticPr fontId="15"/>
  </si>
  <si>
    <t>寒河江市立陵南中学校</t>
    <rPh sb="0" eb="3">
      <t>サガエ</t>
    </rPh>
    <rPh sb="3" eb="5">
      <t>シリツ</t>
    </rPh>
    <rPh sb="5" eb="6">
      <t>リョウ</t>
    </rPh>
    <rPh sb="6" eb="7">
      <t>ミナミ</t>
    </rPh>
    <rPh sb="7" eb="10">
      <t>チュウガッコウ</t>
    </rPh>
    <phoneticPr fontId="15"/>
  </si>
  <si>
    <t>陵南中学校</t>
    <rPh sb="0" eb="1">
      <t>リョウ</t>
    </rPh>
    <rPh sb="1" eb="2">
      <t>ミナミ</t>
    </rPh>
    <rPh sb="2" eb="5">
      <t>チュウガッコウ</t>
    </rPh>
    <phoneticPr fontId="15"/>
  </si>
  <si>
    <t>陵南中</t>
    <rPh sb="0" eb="1">
      <t>リョウ</t>
    </rPh>
    <rPh sb="1" eb="2">
      <t>ミナミ</t>
    </rPh>
    <rPh sb="2" eb="3">
      <t>チュウ</t>
    </rPh>
    <phoneticPr fontId="15"/>
  </si>
  <si>
    <t>陵南</t>
    <rPh sb="0" eb="1">
      <t>リョウ</t>
    </rPh>
    <rPh sb="1" eb="2">
      <t>ミナミ</t>
    </rPh>
    <phoneticPr fontId="15"/>
  </si>
  <si>
    <t>0237-83-3212</t>
  </si>
  <si>
    <t>0237-86-1732</t>
  </si>
  <si>
    <t>991-0000</t>
  </si>
  <si>
    <t>寒河江市内ノ袋１－１１－１</t>
    <rPh sb="0" eb="4">
      <t>サガエシ</t>
    </rPh>
    <rPh sb="4" eb="5">
      <t>ウチ</t>
    </rPh>
    <rPh sb="6" eb="7">
      <t>フクロ</t>
    </rPh>
    <phoneticPr fontId="15"/>
  </si>
  <si>
    <t>東根市立第一中学校</t>
    <rPh sb="0" eb="4">
      <t>ヒガシネシリツ</t>
    </rPh>
    <rPh sb="4" eb="6">
      <t>ダイイチ</t>
    </rPh>
    <rPh sb="6" eb="9">
      <t>チュウガッコウ</t>
    </rPh>
    <phoneticPr fontId="15"/>
  </si>
  <si>
    <t>東根第一中学校</t>
    <rPh sb="0" eb="2">
      <t>ヒガシネ</t>
    </rPh>
    <rPh sb="2" eb="4">
      <t>ダイイチ</t>
    </rPh>
    <rPh sb="4" eb="7">
      <t>チュウガッコウ</t>
    </rPh>
    <phoneticPr fontId="15"/>
  </si>
  <si>
    <t>東根一中</t>
    <rPh sb="0" eb="2">
      <t>ヒガシネ</t>
    </rPh>
    <rPh sb="2" eb="3">
      <t>イチ</t>
    </rPh>
    <rPh sb="3" eb="4">
      <t>チュウ</t>
    </rPh>
    <phoneticPr fontId="15"/>
  </si>
  <si>
    <t>東根一</t>
    <rPh sb="0" eb="2">
      <t>ヒガシネ</t>
    </rPh>
    <rPh sb="2" eb="3">
      <t>イチ</t>
    </rPh>
    <phoneticPr fontId="15"/>
  </si>
  <si>
    <t>0237-42-0114</t>
  </si>
  <si>
    <t>0237-42-0172</t>
  </si>
  <si>
    <t>999-3786</t>
  </si>
  <si>
    <t>東根市鷺の宿１－１</t>
    <rPh sb="0" eb="3">
      <t>ヒガシネシ</t>
    </rPh>
    <rPh sb="3" eb="4">
      <t>サギ</t>
    </rPh>
    <rPh sb="5" eb="6">
      <t>ヤド</t>
    </rPh>
    <phoneticPr fontId="15"/>
  </si>
  <si>
    <t>東根市立神町中学校</t>
  </si>
  <si>
    <t>神町中学校</t>
  </si>
  <si>
    <t>神町中</t>
  </si>
  <si>
    <t>神町</t>
  </si>
  <si>
    <t>0237-48-3375</t>
  </si>
  <si>
    <t>0237-48-3376</t>
  </si>
  <si>
    <t>999-3762</t>
  </si>
  <si>
    <t>東根市神町北五丁目１１－１</t>
  </si>
  <si>
    <t>高畠町立第一中学校</t>
  </si>
  <si>
    <t>高畠第一中学校</t>
  </si>
  <si>
    <t>高畠一中</t>
  </si>
  <si>
    <t>高畠一</t>
  </si>
  <si>
    <t>0238-52-0129</t>
  </si>
  <si>
    <t>0238-52-2740</t>
  </si>
  <si>
    <t>992-0302</t>
  </si>
  <si>
    <t>東置賜郡高畠町阿久津７００</t>
  </si>
  <si>
    <t>高畠町立第三中学校</t>
    <rPh sb="0" eb="2">
      <t>タカハタ</t>
    </rPh>
    <rPh sb="2" eb="4">
      <t>チョウリツ</t>
    </rPh>
    <rPh sb="4" eb="5">
      <t>ダイ</t>
    </rPh>
    <rPh sb="5" eb="7">
      <t>サンチュウ</t>
    </rPh>
    <rPh sb="7" eb="9">
      <t>ガッコウ</t>
    </rPh>
    <phoneticPr fontId="15"/>
  </si>
  <si>
    <t>高畠第三中学校</t>
    <rPh sb="0" eb="2">
      <t>タカハタ</t>
    </rPh>
    <rPh sb="2" eb="3">
      <t>ダイ</t>
    </rPh>
    <rPh sb="3" eb="4">
      <t>サン</t>
    </rPh>
    <rPh sb="4" eb="5">
      <t>チュウ</t>
    </rPh>
    <rPh sb="5" eb="7">
      <t>ガッコウ</t>
    </rPh>
    <phoneticPr fontId="15"/>
  </si>
  <si>
    <t>高畠三中</t>
    <rPh sb="0" eb="2">
      <t>タカハタ</t>
    </rPh>
    <rPh sb="2" eb="3">
      <t>サン</t>
    </rPh>
    <rPh sb="3" eb="4">
      <t>チュウ</t>
    </rPh>
    <phoneticPr fontId="15"/>
  </si>
  <si>
    <t>高畠三</t>
    <rPh sb="0" eb="2">
      <t>タカハタ</t>
    </rPh>
    <rPh sb="2" eb="3">
      <t>サン</t>
    </rPh>
    <phoneticPr fontId="15"/>
  </si>
  <si>
    <t>0238-56-3004</t>
  </si>
  <si>
    <t>0238-56-3429</t>
  </si>
  <si>
    <t>992-0262</t>
  </si>
  <si>
    <t>東置賜郡高畠町大字元和田６５０</t>
    <rPh sb="0" eb="1">
      <t>ヒガシ</t>
    </rPh>
    <rPh sb="1" eb="2">
      <t>オ</t>
    </rPh>
    <rPh sb="2" eb="3">
      <t>タマワ</t>
    </rPh>
    <rPh sb="3" eb="4">
      <t>グン</t>
    </rPh>
    <rPh sb="4" eb="7">
      <t>タカハタマチ</t>
    </rPh>
    <rPh sb="7" eb="9">
      <t>オオアザ</t>
    </rPh>
    <rPh sb="9" eb="10">
      <t>モト</t>
    </rPh>
    <rPh sb="10" eb="12">
      <t>ワダ</t>
    </rPh>
    <phoneticPr fontId="15"/>
  </si>
  <si>
    <t>0233-72-3408</t>
  </si>
  <si>
    <t>0233-72-2526</t>
  </si>
  <si>
    <t>新庄市立荻野中学校</t>
  </si>
  <si>
    <t>荻野中学校</t>
  </si>
  <si>
    <t>荻野中</t>
  </si>
  <si>
    <t>荻野</t>
  </si>
  <si>
    <t>0233-25-3078</t>
  </si>
  <si>
    <t>0233-72-2116</t>
  </si>
  <si>
    <t>999-5102</t>
  </si>
  <si>
    <t>戸沢中学校</t>
    <rPh sb="0" eb="2">
      <t>トザワ</t>
    </rPh>
    <rPh sb="2" eb="5">
      <t>チュウガッコウ</t>
    </rPh>
    <phoneticPr fontId="15"/>
  </si>
  <si>
    <t>戸沢中</t>
    <rPh sb="0" eb="2">
      <t>トザワ</t>
    </rPh>
    <rPh sb="2" eb="3">
      <t>チュウ</t>
    </rPh>
    <phoneticPr fontId="15"/>
  </si>
  <si>
    <t>山形市立金井中学校</t>
  </si>
  <si>
    <t>金井中学校</t>
  </si>
  <si>
    <t>金井中</t>
  </si>
  <si>
    <t>金井</t>
  </si>
  <si>
    <t>023-681-8474</t>
  </si>
  <si>
    <t>023-684-6624</t>
  </si>
  <si>
    <t>990-0864</t>
  </si>
  <si>
    <t>山形市陣場三丁目12番25号</t>
  </si>
  <si>
    <t>尾花沢市立尾花沢中学校</t>
  </si>
  <si>
    <t>尾花沢中学校</t>
  </si>
  <si>
    <t>尾花沢中</t>
  </si>
  <si>
    <t>尾花沢</t>
  </si>
  <si>
    <t>0237-22-0074</t>
  </si>
  <si>
    <t>0237-23-2378</t>
  </si>
  <si>
    <t>999-4229</t>
  </si>
  <si>
    <t>山形県三川町立三川中学校</t>
  </si>
  <si>
    <t>三川中学校</t>
    <rPh sb="0" eb="2">
      <t>ミカワ</t>
    </rPh>
    <rPh sb="2" eb="5">
      <t>チュウガッコウ</t>
    </rPh>
    <phoneticPr fontId="8"/>
  </si>
  <si>
    <t>三川中</t>
    <rPh sb="0" eb="2">
      <t>ミカワ</t>
    </rPh>
    <rPh sb="2" eb="3">
      <t>チュウ</t>
    </rPh>
    <phoneticPr fontId="8"/>
  </si>
  <si>
    <t>三川</t>
    <rPh sb="0" eb="2">
      <t>ミカワ</t>
    </rPh>
    <phoneticPr fontId="8"/>
  </si>
  <si>
    <t>0235-66-3117</t>
  </si>
  <si>
    <t>0235-66-5036</t>
  </si>
  <si>
    <t>997-1301</t>
  </si>
  <si>
    <t>三川町大字横山字堤105</t>
  </si>
  <si>
    <t>山形県最上町立最上中学校</t>
  </si>
  <si>
    <t>最上中学校</t>
    <rPh sb="0" eb="2">
      <t>モガミ</t>
    </rPh>
    <rPh sb="2" eb="5">
      <t>チュウガッコウ</t>
    </rPh>
    <phoneticPr fontId="8"/>
  </si>
  <si>
    <t>最上中</t>
    <rPh sb="0" eb="2">
      <t>モガミ</t>
    </rPh>
    <rPh sb="2" eb="3">
      <t>チュウ</t>
    </rPh>
    <phoneticPr fontId="8"/>
  </si>
  <si>
    <t>最上</t>
    <rPh sb="0" eb="2">
      <t>モガミ</t>
    </rPh>
    <phoneticPr fontId="8"/>
  </si>
  <si>
    <t>0233-43-4115</t>
  </si>
  <si>
    <t>0233-43-2186</t>
  </si>
  <si>
    <t>999-6101</t>
  </si>
  <si>
    <t>長井市立長井南中学校</t>
  </si>
  <si>
    <t>長井南中学校</t>
  </si>
  <si>
    <t>長井南中</t>
  </si>
  <si>
    <t>長井南</t>
  </si>
  <si>
    <t>0238-88-5311</t>
  </si>
  <si>
    <t>0238-88-5319</t>
  </si>
  <si>
    <t>993-0016</t>
  </si>
  <si>
    <t>鶴岡市立櫛引中学校</t>
  </si>
  <si>
    <t>櫛引中学校</t>
  </si>
  <si>
    <t>櫛引中</t>
  </si>
  <si>
    <t>櫛引</t>
  </si>
  <si>
    <t>0235-57-2103</t>
  </si>
  <si>
    <t>0235-57-4405</t>
  </si>
  <si>
    <t>997-0346</t>
  </si>
  <si>
    <t>東村山郡山辺町大字山辺3700</t>
    <phoneticPr fontId="2"/>
  </si>
  <si>
    <t>新庄市萩野字塩野295</t>
    <phoneticPr fontId="2"/>
  </si>
  <si>
    <t>尾花沢市横町二丁目２番８０号</t>
    <phoneticPr fontId="2"/>
  </si>
  <si>
    <t>最上郡最上町向町７６０</t>
    <phoneticPr fontId="2"/>
  </si>
  <si>
    <t>長井市泉1819-1</t>
    <phoneticPr fontId="2"/>
  </si>
  <si>
    <t>鶴岡市上山添字文栄86番地</t>
    <phoneticPr fontId="2"/>
  </si>
  <si>
    <t>990-2335</t>
  </si>
  <si>
    <t>戸沢村立戸沢中学校</t>
    <rPh sb="0" eb="2">
      <t>トザワ</t>
    </rPh>
    <rPh sb="2" eb="4">
      <t>ソンリツ</t>
    </rPh>
    <rPh sb="4" eb="6">
      <t>トザワ</t>
    </rPh>
    <rPh sb="6" eb="9">
      <t>チュウガッコウ</t>
    </rPh>
    <phoneticPr fontId="15"/>
  </si>
  <si>
    <t>戸沢</t>
    <rPh sb="0" eb="2">
      <t>トザワ</t>
    </rPh>
    <phoneticPr fontId="15"/>
  </si>
  <si>
    <t>999-6402</t>
  </si>
  <si>
    <t>山形県最上郡戸沢村蔵岡２９０５－７</t>
  </si>
  <si>
    <t>小国町立小国</t>
  </si>
  <si>
    <t>おぐにちょうりつおぐにちゅうがっこう</t>
  </si>
  <si>
    <t>高畠町立第一</t>
  </si>
  <si>
    <t>たかはたちょうりつだいいちちゅうがっこう</t>
  </si>
  <si>
    <t>三川町立三川</t>
  </si>
  <si>
    <t>みかわちょうりつみかわ　</t>
  </si>
  <si>
    <t>朝日町立朝日</t>
  </si>
  <si>
    <t>山形市立第七</t>
  </si>
  <si>
    <t>やまがたしりつだいしち</t>
  </si>
  <si>
    <t>真室川町立真室川</t>
  </si>
  <si>
    <t>山形市立山寺</t>
  </si>
  <si>
    <t>やまがたしりつやまでらちゅうがっこう</t>
  </si>
  <si>
    <t>舟形町立舟形</t>
  </si>
  <si>
    <t>ふながたちょうりつふながた</t>
  </si>
  <si>
    <t>新庄市立明倫</t>
  </si>
  <si>
    <t>あさひちょうりつあさひちゅうがっこう</t>
    <phoneticPr fontId="2"/>
  </si>
  <si>
    <t>しんじょうしりつめいりんちゅうがっこう</t>
    <phoneticPr fontId="2"/>
  </si>
  <si>
    <t>まむろがわちょうりつまむろがわちゅうがっこう</t>
    <phoneticPr fontId="2"/>
  </si>
  <si>
    <t>朝日町立朝日中学校</t>
    <rPh sb="6" eb="9">
      <t>チュウガッコウ</t>
    </rPh>
    <phoneticPr fontId="2"/>
  </si>
  <si>
    <t>大石田町立大石田中学校</t>
    <rPh sb="8" eb="11">
      <t>チュウガッコウ</t>
    </rPh>
    <phoneticPr fontId="2"/>
  </si>
  <si>
    <t>小国町立小国中学校</t>
    <rPh sb="6" eb="9">
      <t>チュウガッコウ</t>
    </rPh>
    <phoneticPr fontId="2"/>
  </si>
  <si>
    <t>川西町立川西中学校</t>
    <rPh sb="6" eb="9">
      <t>チュウガッコウ</t>
    </rPh>
    <phoneticPr fontId="2"/>
  </si>
  <si>
    <t>鮭川村立鮭川中学校</t>
    <rPh sb="6" eb="9">
      <t>チュウガッコウ</t>
    </rPh>
    <phoneticPr fontId="2"/>
  </si>
  <si>
    <t>庄内町立立川中学校</t>
    <rPh sb="0" eb="2">
      <t>ショウナイ</t>
    </rPh>
    <rPh sb="2" eb="4">
      <t>チョウリツ</t>
    </rPh>
    <rPh sb="4" eb="6">
      <t>タチカワ</t>
    </rPh>
    <rPh sb="6" eb="9">
      <t>チュウガッコウ</t>
    </rPh>
    <phoneticPr fontId="3"/>
  </si>
  <si>
    <t>新庄市立明倫中学校</t>
    <rPh sb="6" eb="9">
      <t>チュウガッコウ</t>
    </rPh>
    <phoneticPr fontId="2"/>
  </si>
  <si>
    <t>鶴岡市立温海中学校</t>
    <rPh sb="6" eb="9">
      <t>チュウガッコウ</t>
    </rPh>
    <phoneticPr fontId="2"/>
  </si>
  <si>
    <t>鶴岡市立鶴岡第三中学校</t>
    <rPh sb="8" eb="11">
      <t>チュウガッコウ</t>
    </rPh>
    <phoneticPr fontId="2"/>
  </si>
  <si>
    <t>天童市立第二中学校</t>
    <rPh sb="6" eb="9">
      <t>チュウガッコウ</t>
    </rPh>
    <phoneticPr fontId="2"/>
  </si>
  <si>
    <t>舟形町立舟形中学校</t>
    <rPh sb="6" eb="9">
      <t>チュウガッコウ</t>
    </rPh>
    <phoneticPr fontId="2"/>
  </si>
  <si>
    <t>真室川町立真室川中学校</t>
    <rPh sb="8" eb="11">
      <t>チュウガッコウ</t>
    </rPh>
    <phoneticPr fontId="2"/>
  </si>
  <si>
    <t>村山市立楯岡中学校</t>
    <rPh sb="6" eb="9">
      <t>チュウガッコウ</t>
    </rPh>
    <phoneticPr fontId="2"/>
  </si>
  <si>
    <t>上山市立南中学校</t>
    <rPh sb="5" eb="8">
      <t>チュウガッコウ</t>
    </rPh>
    <phoneticPr fontId="2"/>
  </si>
  <si>
    <t>山形市立第三中学校</t>
    <rPh sb="6" eb="9">
      <t>チュウガッコウ</t>
    </rPh>
    <phoneticPr fontId="2"/>
  </si>
  <si>
    <t>山形市立第七中学校</t>
    <rPh sb="6" eb="9">
      <t>チュウガッコウ</t>
    </rPh>
    <phoneticPr fontId="2"/>
  </si>
  <si>
    <t>山形市立山寺中学校</t>
    <rPh sb="6" eb="9">
      <t>チュウガッコウ</t>
    </rPh>
    <phoneticPr fontId="2"/>
  </si>
  <si>
    <t>米沢市立第一中学校</t>
    <rPh sb="6" eb="9">
      <t>チュウガッコウ</t>
    </rPh>
    <phoneticPr fontId="2"/>
  </si>
  <si>
    <t>朝日中学校</t>
    <rPh sb="2" eb="5">
      <t>チュウガッコウ</t>
    </rPh>
    <phoneticPr fontId="2"/>
  </si>
  <si>
    <t>大石田中学校</t>
    <rPh sb="3" eb="6">
      <t>チュウガッコウ</t>
    </rPh>
    <phoneticPr fontId="2"/>
  </si>
  <si>
    <t>小国中学校</t>
    <rPh sb="2" eb="5">
      <t>チュウガッコウ</t>
    </rPh>
    <phoneticPr fontId="2"/>
  </si>
  <si>
    <t>川西中学校</t>
    <rPh sb="2" eb="5">
      <t>チュウガッコウ</t>
    </rPh>
    <phoneticPr fontId="2"/>
  </si>
  <si>
    <t>鮭川中学校</t>
    <rPh sb="2" eb="5">
      <t>チュウガッコウ</t>
    </rPh>
    <phoneticPr fontId="2"/>
  </si>
  <si>
    <t>立川中学校</t>
    <rPh sb="0" eb="2">
      <t>タチカワ</t>
    </rPh>
    <rPh sb="2" eb="5">
      <t>チュウガッコウ</t>
    </rPh>
    <phoneticPr fontId="3"/>
  </si>
  <si>
    <t>明倫中学校</t>
    <rPh sb="2" eb="5">
      <t>チュウガッコウ</t>
    </rPh>
    <phoneticPr fontId="2"/>
  </si>
  <si>
    <t>温海中学校</t>
    <rPh sb="2" eb="5">
      <t>チュウガッコウ</t>
    </rPh>
    <phoneticPr fontId="2"/>
  </si>
  <si>
    <t>鶴岡第三中学校</t>
    <rPh sb="4" eb="7">
      <t>チュウガッコウ</t>
    </rPh>
    <phoneticPr fontId="2"/>
  </si>
  <si>
    <t>天童第二中学校</t>
    <rPh sb="4" eb="7">
      <t>チュウガッコウ</t>
    </rPh>
    <phoneticPr fontId="2"/>
  </si>
  <si>
    <t>舟形中学校</t>
    <rPh sb="2" eb="5">
      <t>チュウガッコウ</t>
    </rPh>
    <phoneticPr fontId="2"/>
  </si>
  <si>
    <t>真室川中学校</t>
    <rPh sb="3" eb="6">
      <t>チュウガッコウ</t>
    </rPh>
    <phoneticPr fontId="2"/>
  </si>
  <si>
    <t>楯岡中学校</t>
    <rPh sb="2" eb="5">
      <t>チュウガッコウ</t>
    </rPh>
    <phoneticPr fontId="2"/>
  </si>
  <si>
    <t>上山南中学校</t>
    <rPh sb="3" eb="6">
      <t>チュウガッコウ</t>
    </rPh>
    <phoneticPr fontId="2"/>
  </si>
  <si>
    <t>山形第三中学校</t>
    <rPh sb="4" eb="7">
      <t>チュウガッコウ</t>
    </rPh>
    <phoneticPr fontId="2"/>
  </si>
  <si>
    <t>山形第七中学校</t>
    <rPh sb="4" eb="7">
      <t>チュウガッコウ</t>
    </rPh>
    <phoneticPr fontId="2"/>
  </si>
  <si>
    <t>山寺中学校</t>
    <rPh sb="2" eb="5">
      <t>チュウガッコウ</t>
    </rPh>
    <phoneticPr fontId="2"/>
  </si>
  <si>
    <t>米沢第一中学校</t>
    <rPh sb="4" eb="7">
      <t>チュウガッコウ</t>
    </rPh>
    <phoneticPr fontId="2"/>
  </si>
  <si>
    <t>朝日中</t>
    <rPh sb="2" eb="3">
      <t>チュウ</t>
    </rPh>
    <phoneticPr fontId="2"/>
  </si>
  <si>
    <t>大石田中</t>
    <rPh sb="3" eb="4">
      <t>チュウ</t>
    </rPh>
    <phoneticPr fontId="2"/>
  </si>
  <si>
    <t>小国中</t>
    <rPh sb="2" eb="3">
      <t>チュウ</t>
    </rPh>
    <phoneticPr fontId="2"/>
  </si>
  <si>
    <t>川西中</t>
    <rPh sb="2" eb="3">
      <t>チュウ</t>
    </rPh>
    <phoneticPr fontId="2"/>
  </si>
  <si>
    <t>鮭川中</t>
    <rPh sb="2" eb="3">
      <t>チュウ</t>
    </rPh>
    <phoneticPr fontId="2"/>
  </si>
  <si>
    <t>立川中</t>
    <rPh sb="0" eb="2">
      <t>タチカワ</t>
    </rPh>
    <rPh sb="2" eb="3">
      <t>ナカ</t>
    </rPh>
    <phoneticPr fontId="3"/>
  </si>
  <si>
    <t>明倫中</t>
    <rPh sb="2" eb="3">
      <t>ナカ</t>
    </rPh>
    <phoneticPr fontId="2"/>
  </si>
  <si>
    <t>温海中</t>
    <rPh sb="2" eb="3">
      <t>チュウ</t>
    </rPh>
    <phoneticPr fontId="2"/>
  </si>
  <si>
    <t>鶴岡三中</t>
    <rPh sb="3" eb="4">
      <t>チュウ</t>
    </rPh>
    <phoneticPr fontId="2"/>
  </si>
  <si>
    <t>天童二中</t>
    <rPh sb="3" eb="4">
      <t>チュウ</t>
    </rPh>
    <phoneticPr fontId="2"/>
  </si>
  <si>
    <t>舟形中</t>
    <rPh sb="2" eb="3">
      <t>チュウ</t>
    </rPh>
    <phoneticPr fontId="2"/>
  </si>
  <si>
    <t>真室川中</t>
    <rPh sb="3" eb="4">
      <t>チュウ</t>
    </rPh>
    <phoneticPr fontId="2"/>
  </si>
  <si>
    <t>楯岡中</t>
    <rPh sb="2" eb="3">
      <t>チュウ</t>
    </rPh>
    <phoneticPr fontId="2"/>
  </si>
  <si>
    <t>上山南中</t>
    <rPh sb="3" eb="4">
      <t>チュウ</t>
    </rPh>
    <phoneticPr fontId="2"/>
  </si>
  <si>
    <t>山形三中</t>
    <rPh sb="3" eb="4">
      <t>チュウ</t>
    </rPh>
    <phoneticPr fontId="2"/>
  </si>
  <si>
    <t>山形七中</t>
    <rPh sb="3" eb="4">
      <t>チュウ</t>
    </rPh>
    <phoneticPr fontId="2"/>
  </si>
  <si>
    <t>山寺中</t>
    <rPh sb="2" eb="3">
      <t>チュウ</t>
    </rPh>
    <phoneticPr fontId="2"/>
  </si>
  <si>
    <t>米沢一中</t>
    <rPh sb="3" eb="4">
      <t>チュウ</t>
    </rPh>
    <phoneticPr fontId="2"/>
  </si>
  <si>
    <t>朝日</t>
    <phoneticPr fontId="2"/>
  </si>
  <si>
    <t>大石田</t>
    <phoneticPr fontId="2"/>
  </si>
  <si>
    <t>小国</t>
    <phoneticPr fontId="2"/>
  </si>
  <si>
    <t>川西</t>
    <phoneticPr fontId="2"/>
  </si>
  <si>
    <t>鮭川</t>
    <phoneticPr fontId="2"/>
  </si>
  <si>
    <t>立川</t>
    <rPh sb="0" eb="2">
      <t>タチカワ</t>
    </rPh>
    <phoneticPr fontId="3"/>
  </si>
  <si>
    <t>明倫</t>
    <phoneticPr fontId="2"/>
  </si>
  <si>
    <t>温海</t>
    <phoneticPr fontId="2"/>
  </si>
  <si>
    <t>鶴岡三</t>
    <phoneticPr fontId="2"/>
  </si>
  <si>
    <t>天童二</t>
    <phoneticPr fontId="2"/>
  </si>
  <si>
    <t>舟形</t>
    <phoneticPr fontId="2"/>
  </si>
  <si>
    <t>真室川</t>
    <phoneticPr fontId="2"/>
  </si>
  <si>
    <t>楯岡</t>
    <phoneticPr fontId="2"/>
  </si>
  <si>
    <t>上山南</t>
    <phoneticPr fontId="2"/>
  </si>
  <si>
    <t>山形三</t>
    <phoneticPr fontId="2"/>
  </si>
  <si>
    <t>山形七</t>
    <phoneticPr fontId="2"/>
  </si>
  <si>
    <t>山寺</t>
    <phoneticPr fontId="2"/>
  </si>
  <si>
    <t>米沢一</t>
    <phoneticPr fontId="2"/>
  </si>
  <si>
    <t>仙台市立中野中学校</t>
  </si>
  <si>
    <t>中野中学校</t>
  </si>
  <si>
    <t>中野中</t>
  </si>
  <si>
    <t>中野</t>
  </si>
  <si>
    <t>022-259-2020</t>
  </si>
  <si>
    <t>022-259-2593</t>
  </si>
  <si>
    <t>983-0013</t>
  </si>
  <si>
    <t>仙台市宮城野区中野字高橋前65</t>
  </si>
  <si>
    <t>仙台市立長町中学校</t>
    <rPh sb="0" eb="4">
      <t>センダイシリツ</t>
    </rPh>
    <rPh sb="4" eb="6">
      <t>ナガマチ</t>
    </rPh>
    <rPh sb="6" eb="9">
      <t>チュウガッコウ</t>
    </rPh>
    <phoneticPr fontId="37"/>
  </si>
  <si>
    <t>長町中学校</t>
    <rPh sb="0" eb="2">
      <t>ナガマチ</t>
    </rPh>
    <rPh sb="2" eb="5">
      <t>チュウガッコウ</t>
    </rPh>
    <phoneticPr fontId="37"/>
  </si>
  <si>
    <t>長町中</t>
    <rPh sb="0" eb="2">
      <t>ナガマチ</t>
    </rPh>
    <rPh sb="2" eb="3">
      <t>チュウ</t>
    </rPh>
    <phoneticPr fontId="37"/>
  </si>
  <si>
    <t>長町</t>
    <rPh sb="0" eb="2">
      <t>ナガマチ</t>
    </rPh>
    <phoneticPr fontId="37"/>
  </si>
  <si>
    <t>022-248-1444</t>
  </si>
  <si>
    <t>022-304-1359</t>
  </si>
  <si>
    <t>982-0023</t>
  </si>
  <si>
    <t>仙台市太白区鹿野1-8-1</t>
    <rPh sb="0" eb="3">
      <t>センダイシ</t>
    </rPh>
    <rPh sb="3" eb="6">
      <t>タイハクク</t>
    </rPh>
    <rPh sb="6" eb="8">
      <t>カノ</t>
    </rPh>
    <phoneticPr fontId="32"/>
  </si>
  <si>
    <t>仙台市立八木山中学校</t>
    <rPh sb="0" eb="4">
      <t>センダイシリツ</t>
    </rPh>
    <rPh sb="4" eb="6">
      <t>ヤギ</t>
    </rPh>
    <rPh sb="6" eb="7">
      <t>ヤマ</t>
    </rPh>
    <rPh sb="7" eb="10">
      <t>チュウガッコウ</t>
    </rPh>
    <phoneticPr fontId="37"/>
  </si>
  <si>
    <t>八木山中学校</t>
    <rPh sb="0" eb="2">
      <t>ヤギ</t>
    </rPh>
    <rPh sb="2" eb="3">
      <t>ヤマ</t>
    </rPh>
    <rPh sb="3" eb="6">
      <t>チュウガッコウ</t>
    </rPh>
    <phoneticPr fontId="37"/>
  </si>
  <si>
    <t>八木山中</t>
    <rPh sb="0" eb="2">
      <t>ヤギ</t>
    </rPh>
    <rPh sb="2" eb="3">
      <t>ヤマ</t>
    </rPh>
    <rPh sb="3" eb="4">
      <t>チュウ</t>
    </rPh>
    <phoneticPr fontId="37"/>
  </si>
  <si>
    <t>八木山</t>
    <rPh sb="0" eb="2">
      <t>ヤギ</t>
    </rPh>
    <rPh sb="2" eb="3">
      <t>ヤマ</t>
    </rPh>
    <phoneticPr fontId="37"/>
  </si>
  <si>
    <t>022-229-3144</t>
  </si>
  <si>
    <t>022-305-1262</t>
  </si>
  <si>
    <t>982-0802</t>
  </si>
  <si>
    <t>仙台市太白区八木山7-27-1</t>
    <rPh sb="0" eb="3">
      <t>センダイシ</t>
    </rPh>
    <rPh sb="3" eb="6">
      <t>タイハクク</t>
    </rPh>
    <rPh sb="6" eb="8">
      <t>ヤギ</t>
    </rPh>
    <rPh sb="8" eb="9">
      <t>ヤマ</t>
    </rPh>
    <phoneticPr fontId="37"/>
  </si>
  <si>
    <t>仙台市立富沢中学校</t>
  </si>
  <si>
    <t>富沢中学校</t>
  </si>
  <si>
    <t>富沢中</t>
  </si>
  <si>
    <t>富沢</t>
  </si>
  <si>
    <t>022-245-3751</t>
  </si>
  <si>
    <t>022-307-1636</t>
  </si>
  <si>
    <t>982-0032</t>
  </si>
  <si>
    <t>仙台市太白区富沢2-4-1</t>
  </si>
  <si>
    <t>栗原市立若柳中学校</t>
    <rPh sb="0" eb="2">
      <t>クリハラ</t>
    </rPh>
    <rPh sb="2" eb="4">
      <t>シリツ</t>
    </rPh>
    <rPh sb="4" eb="6">
      <t>ワカヤナギ</t>
    </rPh>
    <rPh sb="6" eb="9">
      <t>チュウガッコウ</t>
    </rPh>
    <phoneticPr fontId="37"/>
  </si>
  <si>
    <t>若柳中学校</t>
    <rPh sb="0" eb="2">
      <t>ワカヤナギ</t>
    </rPh>
    <rPh sb="2" eb="5">
      <t>チュウガッコウ</t>
    </rPh>
    <phoneticPr fontId="37"/>
  </si>
  <si>
    <t>若柳中</t>
    <rPh sb="0" eb="2">
      <t>ワカヤナギ</t>
    </rPh>
    <rPh sb="2" eb="3">
      <t>チュウ</t>
    </rPh>
    <phoneticPr fontId="37"/>
  </si>
  <si>
    <t>若柳</t>
    <rPh sb="0" eb="2">
      <t>ワカヤナギ</t>
    </rPh>
    <phoneticPr fontId="37"/>
  </si>
  <si>
    <t>0228-32-3831</t>
  </si>
  <si>
    <t>0228-35-1551</t>
  </si>
  <si>
    <t>989-5502</t>
  </si>
  <si>
    <t>栗原市若柳字川南袋２５</t>
    <rPh sb="0" eb="3">
      <t>クリハラシ</t>
    </rPh>
    <rPh sb="3" eb="5">
      <t>ワカヤナギ</t>
    </rPh>
    <rPh sb="5" eb="6">
      <t>ジ</t>
    </rPh>
    <rPh sb="6" eb="8">
      <t>カワミナミ</t>
    </rPh>
    <rPh sb="8" eb="9">
      <t>フクロ</t>
    </rPh>
    <phoneticPr fontId="37"/>
  </si>
  <si>
    <t>栗原市立志波姫中学校</t>
  </si>
  <si>
    <t>志波姫中学校</t>
  </si>
  <si>
    <t>志波姫中</t>
  </si>
  <si>
    <t>志波姫</t>
  </si>
  <si>
    <t>0228-25-3245</t>
  </si>
  <si>
    <t>0228-22-3346</t>
  </si>
  <si>
    <t>989-5615</t>
  </si>
  <si>
    <t>栗原市立一迫中学校</t>
    <rPh sb="0" eb="2">
      <t>クリハラ</t>
    </rPh>
    <rPh sb="2" eb="4">
      <t>シリツ</t>
    </rPh>
    <rPh sb="4" eb="5">
      <t>イチ</t>
    </rPh>
    <rPh sb="5" eb="6">
      <t>ハク</t>
    </rPh>
    <rPh sb="6" eb="9">
      <t>チュウガッコウ</t>
    </rPh>
    <phoneticPr fontId="37"/>
  </si>
  <si>
    <t>一迫中学校</t>
    <rPh sb="0" eb="1">
      <t>イチ</t>
    </rPh>
    <rPh sb="1" eb="2">
      <t>ハク</t>
    </rPh>
    <rPh sb="2" eb="5">
      <t>チュウガッコウ</t>
    </rPh>
    <phoneticPr fontId="37"/>
  </si>
  <si>
    <t>一迫中</t>
    <rPh sb="0" eb="1">
      <t>イチ</t>
    </rPh>
    <rPh sb="1" eb="2">
      <t>ハク</t>
    </rPh>
    <rPh sb="2" eb="3">
      <t>チュウ</t>
    </rPh>
    <phoneticPr fontId="37"/>
  </si>
  <si>
    <t>一迫</t>
    <rPh sb="0" eb="1">
      <t>イチ</t>
    </rPh>
    <rPh sb="1" eb="2">
      <t>ハク</t>
    </rPh>
    <phoneticPr fontId="37"/>
  </si>
  <si>
    <t>0228-52-2141</t>
  </si>
  <si>
    <t>0228-52-2142</t>
  </si>
  <si>
    <t>987-2308</t>
  </si>
  <si>
    <t>栗原市一迫真坂字鶴町１２３</t>
    <rPh sb="0" eb="2">
      <t>クリハラ</t>
    </rPh>
    <rPh sb="2" eb="3">
      <t>シ</t>
    </rPh>
    <rPh sb="3" eb="4">
      <t>イチ</t>
    </rPh>
    <rPh sb="4" eb="5">
      <t>ハク</t>
    </rPh>
    <rPh sb="5" eb="7">
      <t>マサカ</t>
    </rPh>
    <rPh sb="7" eb="8">
      <t>アザ</t>
    </rPh>
    <rPh sb="8" eb="9">
      <t>ツル</t>
    </rPh>
    <rPh sb="9" eb="10">
      <t>マチ</t>
    </rPh>
    <phoneticPr fontId="37"/>
  </si>
  <si>
    <t>登米市立米山中学校</t>
  </si>
  <si>
    <t>米山中学校</t>
    <rPh sb="0" eb="2">
      <t>ヨネヤマ</t>
    </rPh>
    <rPh sb="2" eb="5">
      <t>チュウガッコウ</t>
    </rPh>
    <phoneticPr fontId="37"/>
  </si>
  <si>
    <t>米山中</t>
    <rPh sb="0" eb="2">
      <t>ヨネヤマ</t>
    </rPh>
    <rPh sb="2" eb="3">
      <t>チュウ</t>
    </rPh>
    <phoneticPr fontId="37"/>
  </si>
  <si>
    <t>米山</t>
    <rPh sb="0" eb="2">
      <t>ヨネヤマ</t>
    </rPh>
    <phoneticPr fontId="37"/>
  </si>
  <si>
    <t>0220-55-2041</t>
  </si>
  <si>
    <t>0220-29-5016</t>
  </si>
  <si>
    <t>987-0321</t>
  </si>
  <si>
    <t>登米市米山町西野字西小路２</t>
    <rPh sb="0" eb="2">
      <t>トメ</t>
    </rPh>
    <rPh sb="2" eb="3">
      <t>シ</t>
    </rPh>
    <rPh sb="3" eb="5">
      <t>ヨネヤマ</t>
    </rPh>
    <rPh sb="5" eb="6">
      <t>マチ</t>
    </rPh>
    <rPh sb="6" eb="8">
      <t>ニシノ</t>
    </rPh>
    <rPh sb="8" eb="9">
      <t>アザ</t>
    </rPh>
    <rPh sb="9" eb="10">
      <t>ニシ</t>
    </rPh>
    <rPh sb="10" eb="12">
      <t>コウジ</t>
    </rPh>
    <phoneticPr fontId="37"/>
  </si>
  <si>
    <t>登米市立中田中学校</t>
  </si>
  <si>
    <t>中田中学校</t>
  </si>
  <si>
    <t>中田中</t>
  </si>
  <si>
    <t>中田</t>
  </si>
  <si>
    <t>0220-34-2241</t>
  </si>
  <si>
    <t>0220-34-2131</t>
  </si>
  <si>
    <t>987-0621</t>
  </si>
  <si>
    <t>登米市中田町宝江黒沼字新西野７０</t>
  </si>
  <si>
    <t>色麻町立色麻中学校</t>
  </si>
  <si>
    <t>色麻中学校</t>
    <rPh sb="0" eb="1">
      <t>イロ</t>
    </rPh>
    <rPh sb="1" eb="2">
      <t>マ</t>
    </rPh>
    <rPh sb="2" eb="5">
      <t>チュウガッコウ</t>
    </rPh>
    <phoneticPr fontId="37"/>
  </si>
  <si>
    <t>色麻中</t>
    <rPh sb="0" eb="1">
      <t>イロ</t>
    </rPh>
    <rPh sb="1" eb="2">
      <t>マ</t>
    </rPh>
    <rPh sb="2" eb="3">
      <t>チュウ</t>
    </rPh>
    <phoneticPr fontId="37"/>
  </si>
  <si>
    <t>色麻</t>
    <rPh sb="0" eb="1">
      <t>イロ</t>
    </rPh>
    <rPh sb="1" eb="2">
      <t>マ</t>
    </rPh>
    <phoneticPr fontId="37"/>
  </si>
  <si>
    <t>0229-65-2409</t>
  </si>
  <si>
    <t>981-4122</t>
  </si>
  <si>
    <t>加美郡色麻町四釜字枛木町１５０</t>
    <rPh sb="0" eb="2">
      <t>カミ</t>
    </rPh>
    <rPh sb="2" eb="3">
      <t>グン</t>
    </rPh>
    <rPh sb="3" eb="4">
      <t>イロ</t>
    </rPh>
    <rPh sb="4" eb="5">
      <t>マ</t>
    </rPh>
    <rPh sb="5" eb="6">
      <t>マチ</t>
    </rPh>
    <rPh sb="6" eb="7">
      <t>ヨ</t>
    </rPh>
    <rPh sb="7" eb="8">
      <t>カマ</t>
    </rPh>
    <rPh sb="8" eb="9">
      <t>アザ</t>
    </rPh>
    <rPh sb="9" eb="10">
      <t>ソウ</t>
    </rPh>
    <rPh sb="10" eb="11">
      <t>キ</t>
    </rPh>
    <rPh sb="11" eb="12">
      <t>マチ</t>
    </rPh>
    <phoneticPr fontId="37"/>
  </si>
  <si>
    <t>大崎市立古川北中学校</t>
  </si>
  <si>
    <t>古川北中学校</t>
  </si>
  <si>
    <t>古川北中</t>
  </si>
  <si>
    <t>古川北</t>
  </si>
  <si>
    <t>0229-28-2103</t>
  </si>
  <si>
    <t>0229-28-2204</t>
  </si>
  <si>
    <t>989-6223</t>
  </si>
  <si>
    <t>大崎市古川荒谷字権現山５</t>
  </si>
  <si>
    <t>東北学院中学校</t>
    <rPh sb="0" eb="2">
      <t>トウホク</t>
    </rPh>
    <rPh sb="2" eb="4">
      <t>ガクイン</t>
    </rPh>
    <rPh sb="4" eb="7">
      <t>チュウガッコウ</t>
    </rPh>
    <phoneticPr fontId="37"/>
  </si>
  <si>
    <t>東北学院中</t>
    <rPh sb="0" eb="2">
      <t>トウホク</t>
    </rPh>
    <rPh sb="2" eb="4">
      <t>ガクイン</t>
    </rPh>
    <rPh sb="4" eb="5">
      <t>チュウ</t>
    </rPh>
    <phoneticPr fontId="37"/>
  </si>
  <si>
    <t>東北学院</t>
    <rPh sb="0" eb="2">
      <t>トウホク</t>
    </rPh>
    <rPh sb="2" eb="4">
      <t>ガクイン</t>
    </rPh>
    <phoneticPr fontId="37"/>
  </si>
  <si>
    <t>022-786-1231</t>
  </si>
  <si>
    <t>022-786-1460</t>
  </si>
  <si>
    <t>983-8565</t>
  </si>
  <si>
    <t>仙台市宮城野区小鶴字高野１２３</t>
    <rPh sb="0" eb="3">
      <t>センダイシ</t>
    </rPh>
    <rPh sb="3" eb="7">
      <t>ミヤギノク</t>
    </rPh>
    <rPh sb="7" eb="8">
      <t>コ</t>
    </rPh>
    <rPh sb="8" eb="9">
      <t>ツル</t>
    </rPh>
    <rPh sb="9" eb="10">
      <t>アザ</t>
    </rPh>
    <rPh sb="10" eb="12">
      <t>タカノ</t>
    </rPh>
    <phoneticPr fontId="37"/>
  </si>
  <si>
    <t>仙台市立南小泉中学校</t>
  </si>
  <si>
    <t>南小泉中学校</t>
  </si>
  <si>
    <t>南小泉中</t>
  </si>
  <si>
    <t>南小泉</t>
  </si>
  <si>
    <t>022-286-2203</t>
  </si>
  <si>
    <t>022-294-1367</t>
  </si>
  <si>
    <t>984-0828</t>
  </si>
  <si>
    <t>仙台市若林区一本杉町2－1</t>
  </si>
  <si>
    <t>角田市立角田中学校</t>
  </si>
  <si>
    <t>角田中学校</t>
  </si>
  <si>
    <t>角田中</t>
  </si>
  <si>
    <t>角田</t>
  </si>
  <si>
    <t>0224631141</t>
  </si>
  <si>
    <t>0224630354</t>
  </si>
  <si>
    <t>981-1505</t>
  </si>
  <si>
    <t>角田市角田字牛舘１－２</t>
  </si>
  <si>
    <t>気仙沼市立松岩中学校</t>
  </si>
  <si>
    <t>松岩中学校</t>
  </si>
  <si>
    <t>松岩中</t>
  </si>
  <si>
    <t>松岩</t>
  </si>
  <si>
    <t>0226-22-7158</t>
  </si>
  <si>
    <t>0226-22-7159</t>
  </si>
  <si>
    <t>988-0141</t>
  </si>
  <si>
    <t>気仙沼市立条南中学校</t>
  </si>
  <si>
    <t>条南中学校</t>
    <rPh sb="0" eb="1">
      <t>ジョウ</t>
    </rPh>
    <rPh sb="1" eb="2">
      <t>ナン</t>
    </rPh>
    <rPh sb="2" eb="5">
      <t>チュウガッコウ</t>
    </rPh>
    <phoneticPr fontId="37"/>
  </si>
  <si>
    <t>条南中</t>
    <rPh sb="0" eb="1">
      <t>ジョウ</t>
    </rPh>
    <rPh sb="1" eb="2">
      <t>ナン</t>
    </rPh>
    <rPh sb="2" eb="3">
      <t>チュウ</t>
    </rPh>
    <phoneticPr fontId="37"/>
  </si>
  <si>
    <t>条南</t>
    <rPh sb="0" eb="1">
      <t>ジョウ</t>
    </rPh>
    <rPh sb="1" eb="2">
      <t>ナン</t>
    </rPh>
    <phoneticPr fontId="37"/>
  </si>
  <si>
    <t>0226-24-3131</t>
  </si>
  <si>
    <t>0226-24-3132</t>
  </si>
  <si>
    <t>988-0053</t>
  </si>
  <si>
    <t>気仙沼市田中前四丁目８</t>
  </si>
  <si>
    <t>石巻市立渡波中学校</t>
  </si>
  <si>
    <t>渡波中学校</t>
  </si>
  <si>
    <t>渡波中</t>
  </si>
  <si>
    <t>渡波</t>
  </si>
  <si>
    <t>0225-25-8311</t>
  </si>
  <si>
    <t>0225-25-8312</t>
  </si>
  <si>
    <t>986-0002</t>
  </si>
  <si>
    <t>山元町立山下中学校</t>
  </si>
  <si>
    <t>山下中学校</t>
  </si>
  <si>
    <t>山下中</t>
  </si>
  <si>
    <t>山下</t>
  </si>
  <si>
    <t>0223-37-0032</t>
  </si>
  <si>
    <t>0223-37-4330</t>
  </si>
  <si>
    <t>989-2201</t>
  </si>
  <si>
    <t>亘理郡山元町山寺字畑中２９</t>
  </si>
  <si>
    <t>東松島市立矢本第二中学校</t>
  </si>
  <si>
    <t>矢本第二中学校</t>
    <rPh sb="0" eb="2">
      <t>ヤモト</t>
    </rPh>
    <rPh sb="2" eb="3">
      <t>ダイ</t>
    </rPh>
    <rPh sb="3" eb="4">
      <t>ニ</t>
    </rPh>
    <rPh sb="4" eb="7">
      <t>チュウガッコウ</t>
    </rPh>
    <phoneticPr fontId="32"/>
  </si>
  <si>
    <t>矢本二中</t>
    <rPh sb="0" eb="2">
      <t>ヤモト</t>
    </rPh>
    <rPh sb="2" eb="3">
      <t>ニ</t>
    </rPh>
    <rPh sb="3" eb="4">
      <t>チュウ</t>
    </rPh>
    <phoneticPr fontId="32"/>
  </si>
  <si>
    <t>矢本二</t>
    <rPh sb="0" eb="2">
      <t>ヤモト</t>
    </rPh>
    <rPh sb="2" eb="3">
      <t>ニ</t>
    </rPh>
    <phoneticPr fontId="32"/>
  </si>
  <si>
    <t>0225-82-2323</t>
  </si>
  <si>
    <t>0225-82-8393</t>
  </si>
  <si>
    <t>981-0501</t>
  </si>
  <si>
    <t>999-4111</t>
  </si>
  <si>
    <t>北村山郡大石田町大字大石田丁２１８－１</t>
    <phoneticPr fontId="2"/>
  </si>
  <si>
    <t>0237-35-2120</t>
  </si>
  <si>
    <t>0237-35-4311</t>
  </si>
  <si>
    <t>990-1442</t>
  </si>
  <si>
    <t>西村山郡朝日町大字宮宿１０８番地</t>
    <phoneticPr fontId="2"/>
  </si>
  <si>
    <t>0237-67-2123</t>
  </si>
  <si>
    <t>0237-67-3105</t>
  </si>
  <si>
    <t xml:space="preserve">999-1352 </t>
  </si>
  <si>
    <t>西置賜郡小国町大字岩井沢７１９</t>
    <phoneticPr fontId="2"/>
  </si>
  <si>
    <t>0238-62-205</t>
  </si>
  <si>
    <t>0238-62-2052</t>
  </si>
  <si>
    <t>999-0122</t>
    <phoneticPr fontId="2"/>
  </si>
  <si>
    <t>東置賜郡川西町大字中小松２４９３番地</t>
    <phoneticPr fontId="2"/>
  </si>
  <si>
    <t>0238-42-3155</t>
  </si>
  <si>
    <t>0238-42-3156</t>
  </si>
  <si>
    <t>999-5207</t>
  </si>
  <si>
    <t>最上郡鮭川村大字庭月2510番１</t>
    <phoneticPr fontId="2"/>
  </si>
  <si>
    <t>0233-55-3090</t>
  </si>
  <si>
    <t>0233-55-3086</t>
  </si>
  <si>
    <t>996-0091</t>
  </si>
  <si>
    <t>新庄市十日町２６７５</t>
    <phoneticPr fontId="2"/>
  </si>
  <si>
    <t>0233-22-6061</t>
    <phoneticPr fontId="2"/>
  </si>
  <si>
    <t>0233-23-7247</t>
    <phoneticPr fontId="2"/>
  </si>
  <si>
    <t>999-7123</t>
  </si>
  <si>
    <t>鶴岡市大岩川字黒岩３５</t>
    <phoneticPr fontId="2"/>
  </si>
  <si>
    <t>0235-43-2911</t>
  </si>
  <si>
    <t>0235-43-2914</t>
  </si>
  <si>
    <t>997-0814</t>
  </si>
  <si>
    <t>鶴岡市城南町２５番１号</t>
    <phoneticPr fontId="2"/>
  </si>
  <si>
    <t>0235-22-2793</t>
  </si>
  <si>
    <t>0235-22-2845</t>
  </si>
  <si>
    <t>994-0012</t>
  </si>
  <si>
    <t>天童市大字久野本１６７４番地</t>
  </si>
  <si>
    <t>023-654-2322</t>
  </si>
  <si>
    <t>023-654-2323</t>
  </si>
  <si>
    <t>999-4601</t>
  </si>
  <si>
    <t>最上郡舟形町555-4</t>
    <phoneticPr fontId="2"/>
  </si>
  <si>
    <t>0233-32-2108</t>
    <phoneticPr fontId="2"/>
  </si>
  <si>
    <t>0233-34-1035</t>
    <phoneticPr fontId="2"/>
  </si>
  <si>
    <t>999-5521</t>
  </si>
  <si>
    <t>最上郡真室川町大字大沢字滝ノ沢山５016-26</t>
    <phoneticPr fontId="2"/>
  </si>
  <si>
    <t>0233-63-2121</t>
  </si>
  <si>
    <t>0233-63-2140</t>
  </si>
  <si>
    <t>995-0018</t>
  </si>
  <si>
    <t>村山市楯岡新高田11番3号</t>
    <phoneticPr fontId="2"/>
  </si>
  <si>
    <t>0237-55-2403</t>
  </si>
  <si>
    <t>0237-55-2407</t>
  </si>
  <si>
    <t>999-3232</t>
  </si>
  <si>
    <t>上山市長清水三丁目７番１号</t>
    <phoneticPr fontId="2"/>
  </si>
  <si>
    <t>023-672-1500</t>
  </si>
  <si>
    <t>023-672-3102</t>
  </si>
  <si>
    <t>山形市双葉町二丁目1番10号</t>
  </si>
  <si>
    <t>990-0828</t>
    <phoneticPr fontId="2"/>
  </si>
  <si>
    <t>023-644-3903</t>
    <phoneticPr fontId="2"/>
  </si>
  <si>
    <t>023-645-8492</t>
    <phoneticPr fontId="2"/>
  </si>
  <si>
    <t>990-0801</t>
  </si>
  <si>
    <t>山形市天神町２５２０番地</t>
  </si>
  <si>
    <t>023-684-7555</t>
  </si>
  <si>
    <t>023-684-6459</t>
  </si>
  <si>
    <t>990-0834</t>
  </si>
  <si>
    <t>山形市大字山寺1650番地</t>
    <phoneticPr fontId="2"/>
  </si>
  <si>
    <t>023-695-2044</t>
  </si>
  <si>
    <t>023-695-2514</t>
  </si>
  <si>
    <t>992-0027</t>
  </si>
  <si>
    <t>米沢市駅前４丁目３番５１号</t>
    <phoneticPr fontId="2"/>
  </si>
  <si>
    <t>0238-23-3383</t>
  </si>
  <si>
    <t>0238-22-8105</t>
  </si>
  <si>
    <t>仙台市立五橋</t>
  </si>
  <si>
    <t>せんだいしりついつつばし</t>
  </si>
  <si>
    <t>仙台市立広瀬</t>
  </si>
  <si>
    <t>大崎市立古川北</t>
  </si>
  <si>
    <t>おおさきしりつふるかわきたちゅうがっこう</t>
  </si>
  <si>
    <t>石巻市立山下</t>
  </si>
  <si>
    <t>いしのまきしりつやましたちゅうがっこう</t>
  </si>
  <si>
    <t>せんだいしりつひろせちゅうがっこう</t>
  </si>
  <si>
    <t>栗原市立志波姫</t>
  </si>
  <si>
    <t>くりはらしりつしわひめちゅうがっこう</t>
  </si>
  <si>
    <t>石巻市立湊</t>
  </si>
  <si>
    <t>いしのまきしりつみなとちゅうがっこう</t>
  </si>
  <si>
    <t>名取市立第一</t>
  </si>
  <si>
    <t>なとりしりつだいいち</t>
  </si>
  <si>
    <t>角田市立角田</t>
  </si>
  <si>
    <t>かくだしりつかくだちゅうがっこう</t>
  </si>
  <si>
    <t>大河原町立大河原</t>
  </si>
  <si>
    <t>おおがわらちょうりつおおがわらちゅうがっこう</t>
  </si>
  <si>
    <t>登米市立米山</t>
  </si>
  <si>
    <t>とめしりつよなやま</t>
  </si>
  <si>
    <t>大郷町立大郷</t>
  </si>
  <si>
    <t>おおさとちょうりつおおさと</t>
  </si>
  <si>
    <t>みやぎけんいしのまきしりつわたのは</t>
  </si>
  <si>
    <t>石巻市立万石浦</t>
  </si>
  <si>
    <t>いしのまきしりつまんごくうらちゅうがっこう</t>
  </si>
  <si>
    <t>仙台市立高砂</t>
  </si>
  <si>
    <t>せんだいしりつたかさご</t>
  </si>
  <si>
    <t>仙台市立中野</t>
  </si>
  <si>
    <t>せんだいしりつなかのちゅうがっこう</t>
  </si>
  <si>
    <t>南三陸町立志津川</t>
  </si>
  <si>
    <t>みなみさんりくちょうりつしづがわ</t>
  </si>
  <si>
    <t>多賀城市立多賀城</t>
  </si>
  <si>
    <t>たがじょうしりつたがじょうちゅうがっこう</t>
  </si>
  <si>
    <t>塩竈市立第一</t>
  </si>
  <si>
    <t>しおがましりつだいいちちゅうがっこう</t>
  </si>
  <si>
    <t>山元町立山下</t>
  </si>
  <si>
    <t>やまもとちょうりつやました</t>
  </si>
  <si>
    <t>石巻市立蛇田</t>
  </si>
  <si>
    <t>いしのまきしりつへびたちゅうがっこう</t>
  </si>
  <si>
    <t>石巻市立住吉</t>
  </si>
  <si>
    <t>いしのまきしりつすみよし</t>
  </si>
  <si>
    <t>登米市立中田</t>
    <rPh sb="0" eb="2">
      <t>トメ</t>
    </rPh>
    <rPh sb="2" eb="4">
      <t>シリツ</t>
    </rPh>
    <rPh sb="4" eb="6">
      <t>ナカダ</t>
    </rPh>
    <phoneticPr fontId="3"/>
  </si>
  <si>
    <t>とめしりつなかだ</t>
  </si>
  <si>
    <t>富谷町立日吉台</t>
  </si>
  <si>
    <t>とみやちょうりつひよしだいちゅうがっこう</t>
  </si>
  <si>
    <t>東松島市立矢本第二</t>
    <rPh sb="0" eb="3">
      <t>ヒガシマツシマ</t>
    </rPh>
    <rPh sb="3" eb="5">
      <t>シリツ</t>
    </rPh>
    <rPh sb="5" eb="7">
      <t>ヤモト</t>
    </rPh>
    <rPh sb="7" eb="9">
      <t>ダイニ</t>
    </rPh>
    <phoneticPr fontId="3"/>
  </si>
  <si>
    <t>ひがしまつしましりつやもとだいに</t>
  </si>
  <si>
    <t>美里町立小牛田</t>
  </si>
  <si>
    <t>みさとちょうりつこごたちゅうがっこう</t>
  </si>
  <si>
    <t>岩沼市立玉浦</t>
  </si>
  <si>
    <t>いわぬましりつたまうらちゅうがっこう</t>
  </si>
  <si>
    <t>仙台市立将監</t>
  </si>
  <si>
    <t>せんだいしりつしょうげんちゅうがっこう</t>
  </si>
  <si>
    <t>大崎市立古川</t>
  </si>
  <si>
    <t>おおさきしりつふるかわちゅうがっこう</t>
  </si>
  <si>
    <t>利府町立しらかし台</t>
  </si>
  <si>
    <t>りふちょうりつしらかしだいちゅうがっこう</t>
  </si>
  <si>
    <t>名取市立みどり台</t>
  </si>
  <si>
    <t>なとりしりつみどりだいちゅうがっこう</t>
  </si>
  <si>
    <t>登米市立佐沼</t>
  </si>
  <si>
    <t>とめしりつさぬまちゅうがっこう</t>
  </si>
  <si>
    <t>気仙沼市立条南</t>
  </si>
  <si>
    <t>けせんぬましりつじょうなんちゅうがっこう</t>
  </si>
  <si>
    <t>東松島市赤井字川前一16－1</t>
    <phoneticPr fontId="2"/>
  </si>
  <si>
    <t>石巻市真野字八の坪116-1</t>
    <phoneticPr fontId="2"/>
  </si>
  <si>
    <t>気仙沼市松崎柳沢１８６</t>
    <phoneticPr fontId="2"/>
  </si>
  <si>
    <t>栗原市志波姫沼崎大谷地５-１</t>
    <phoneticPr fontId="2"/>
  </si>
  <si>
    <t>石巻市立住吉中学校</t>
    <rPh sb="6" eb="9">
      <t>チュウガッコウ</t>
    </rPh>
    <phoneticPr fontId="2"/>
  </si>
  <si>
    <t>石巻市立蛇田中学校</t>
    <rPh sb="6" eb="9">
      <t>チュウガッコウ</t>
    </rPh>
    <phoneticPr fontId="2"/>
  </si>
  <si>
    <t>石巻市立万石浦中学校</t>
    <rPh sb="7" eb="10">
      <t>チュウガッコウ</t>
    </rPh>
    <phoneticPr fontId="2"/>
  </si>
  <si>
    <t>石巻市立湊中学校</t>
    <rPh sb="5" eb="8">
      <t>チュウガッコウ</t>
    </rPh>
    <phoneticPr fontId="2"/>
  </si>
  <si>
    <t>石巻市立山下中学校</t>
    <rPh sb="6" eb="9">
      <t>チュウガッコウ</t>
    </rPh>
    <phoneticPr fontId="2"/>
  </si>
  <si>
    <t>岩沼市立玉浦中学校</t>
    <rPh sb="6" eb="9">
      <t>チュウガッコウ</t>
    </rPh>
    <phoneticPr fontId="2"/>
  </si>
  <si>
    <t>大河原町立大河原中学校</t>
    <rPh sb="8" eb="11">
      <t>チュウガッコウ</t>
    </rPh>
    <phoneticPr fontId="2"/>
  </si>
  <si>
    <t>大崎市立古川中学校</t>
    <rPh sb="6" eb="9">
      <t>チュウガッコウ</t>
    </rPh>
    <phoneticPr fontId="2"/>
  </si>
  <si>
    <t>大郷町立大郷中学校</t>
    <rPh sb="6" eb="9">
      <t>チュウガッコウ</t>
    </rPh>
    <phoneticPr fontId="2"/>
  </si>
  <si>
    <t>角田市立角田中学校</t>
    <rPh sb="6" eb="9">
      <t>チュウガッコウ</t>
    </rPh>
    <phoneticPr fontId="2"/>
  </si>
  <si>
    <t>塩竈市立第一中学校</t>
    <rPh sb="6" eb="9">
      <t>チュウガッコウ</t>
    </rPh>
    <phoneticPr fontId="2"/>
  </si>
  <si>
    <t>仙台市立五橋中学校</t>
    <rPh sb="6" eb="9">
      <t>チュウガッコウ</t>
    </rPh>
    <phoneticPr fontId="2"/>
  </si>
  <si>
    <t>仙台市立将監中学校</t>
    <rPh sb="6" eb="9">
      <t>チュウガッコウ</t>
    </rPh>
    <phoneticPr fontId="2"/>
  </si>
  <si>
    <t>仙台市立高砂中学校</t>
    <rPh sb="6" eb="9">
      <t>チュウガッコウ</t>
    </rPh>
    <phoneticPr fontId="2"/>
  </si>
  <si>
    <t>仙台市立広瀬中学校</t>
    <rPh sb="6" eb="9">
      <t>チュウガッコウ</t>
    </rPh>
    <phoneticPr fontId="2"/>
  </si>
  <si>
    <t>多賀城市立多賀城中学校</t>
    <rPh sb="8" eb="11">
      <t>チュウガッコウ</t>
    </rPh>
    <phoneticPr fontId="2"/>
  </si>
  <si>
    <t>富谷町立日吉台中学校</t>
    <rPh sb="7" eb="10">
      <t>チュウガッコウ</t>
    </rPh>
    <phoneticPr fontId="2"/>
  </si>
  <si>
    <t>登米市立佐沼中学校</t>
    <rPh sb="6" eb="9">
      <t>チュウガッコウ</t>
    </rPh>
    <phoneticPr fontId="2"/>
  </si>
  <si>
    <t>名取市立第一中学校</t>
    <rPh sb="6" eb="9">
      <t>チュウガッコウ</t>
    </rPh>
    <phoneticPr fontId="2"/>
  </si>
  <si>
    <t>名取市立みどり台中学校</t>
    <rPh sb="8" eb="11">
      <t>チュウガッコウ</t>
    </rPh>
    <phoneticPr fontId="2"/>
  </si>
  <si>
    <t>美里町立小牛田中学校</t>
    <rPh sb="7" eb="10">
      <t>チュウガッコウ</t>
    </rPh>
    <phoneticPr fontId="2"/>
  </si>
  <si>
    <t>南三陸町立志津川中学校</t>
    <rPh sb="8" eb="11">
      <t>チュウガッコウ</t>
    </rPh>
    <phoneticPr fontId="2"/>
  </si>
  <si>
    <t>利府町立しらかし台中学校</t>
    <rPh sb="9" eb="12">
      <t>チュウガッコウ</t>
    </rPh>
    <phoneticPr fontId="2"/>
  </si>
  <si>
    <t>住吉中学校</t>
    <rPh sb="2" eb="5">
      <t>チュウガッコウ</t>
    </rPh>
    <phoneticPr fontId="2"/>
  </si>
  <si>
    <t>蛇田中学校</t>
    <rPh sb="2" eb="5">
      <t>チュウガッコウ</t>
    </rPh>
    <phoneticPr fontId="2"/>
  </si>
  <si>
    <t>万石浦中学校</t>
    <rPh sb="3" eb="6">
      <t>チュウガッコウ</t>
    </rPh>
    <phoneticPr fontId="2"/>
  </si>
  <si>
    <t>石巻山下中学校</t>
    <rPh sb="4" eb="7">
      <t>チュウガッコウ</t>
    </rPh>
    <phoneticPr fontId="2"/>
  </si>
  <si>
    <t>玉浦中学校</t>
    <rPh sb="2" eb="5">
      <t>チュウガッコウ</t>
    </rPh>
    <phoneticPr fontId="2"/>
  </si>
  <si>
    <t>大河原中学校</t>
    <rPh sb="3" eb="6">
      <t>チュウガッコウ</t>
    </rPh>
    <phoneticPr fontId="2"/>
  </si>
  <si>
    <t>古川中学校</t>
    <rPh sb="2" eb="5">
      <t>チュウガッコウ</t>
    </rPh>
    <phoneticPr fontId="2"/>
  </si>
  <si>
    <t>大郷中学校</t>
    <rPh sb="2" eb="5">
      <t>チュウガッコウ</t>
    </rPh>
    <phoneticPr fontId="2"/>
  </si>
  <si>
    <t>角田中学校</t>
    <rPh sb="2" eb="5">
      <t>チュウガッコウ</t>
    </rPh>
    <phoneticPr fontId="2"/>
  </si>
  <si>
    <t>塩竈第一中学校</t>
    <rPh sb="4" eb="7">
      <t>チュウガッコウ</t>
    </rPh>
    <phoneticPr fontId="2"/>
  </si>
  <si>
    <t>五橋中学校</t>
    <rPh sb="2" eb="5">
      <t>チュウガッコウ</t>
    </rPh>
    <phoneticPr fontId="2"/>
  </si>
  <si>
    <t>将監中学校</t>
    <rPh sb="2" eb="5">
      <t>チュウガッコウ</t>
    </rPh>
    <phoneticPr fontId="2"/>
  </si>
  <si>
    <t>高砂中学校</t>
    <rPh sb="2" eb="5">
      <t>チュウガッコウ</t>
    </rPh>
    <phoneticPr fontId="2"/>
  </si>
  <si>
    <t>広瀬中学校</t>
    <rPh sb="2" eb="5">
      <t>チュウガッコウ</t>
    </rPh>
    <phoneticPr fontId="2"/>
  </si>
  <si>
    <t>多賀城中学校</t>
    <rPh sb="3" eb="6">
      <t>チュウガッコウ</t>
    </rPh>
    <phoneticPr fontId="2"/>
  </si>
  <si>
    <t>日吉台中学校</t>
    <rPh sb="3" eb="6">
      <t>チュウガッコウ</t>
    </rPh>
    <phoneticPr fontId="2"/>
  </si>
  <si>
    <t>佐沼中学校</t>
    <rPh sb="2" eb="5">
      <t>チュウガッコウ</t>
    </rPh>
    <phoneticPr fontId="2"/>
  </si>
  <si>
    <t>石巻市立渡波</t>
    <phoneticPr fontId="2"/>
  </si>
  <si>
    <t>名取第一中学校</t>
    <rPh sb="4" eb="7">
      <t>チュウガッコウ</t>
    </rPh>
    <phoneticPr fontId="2"/>
  </si>
  <si>
    <t>みどり台中学校</t>
    <rPh sb="4" eb="7">
      <t>チュウガッコウ</t>
    </rPh>
    <phoneticPr fontId="2"/>
  </si>
  <si>
    <t>小牛田中学校</t>
    <rPh sb="3" eb="6">
      <t>チュウガッコウ</t>
    </rPh>
    <phoneticPr fontId="2"/>
  </si>
  <si>
    <t>志津川中学校</t>
    <rPh sb="3" eb="6">
      <t>チュウガッコウ</t>
    </rPh>
    <phoneticPr fontId="2"/>
  </si>
  <si>
    <t>しらかし台中学校</t>
    <rPh sb="5" eb="8">
      <t>チュウガッコウ</t>
    </rPh>
    <phoneticPr fontId="2"/>
  </si>
  <si>
    <t>住吉中</t>
    <rPh sb="2" eb="3">
      <t>チュウ</t>
    </rPh>
    <phoneticPr fontId="2"/>
  </si>
  <si>
    <t>蛇田中</t>
    <phoneticPr fontId="2"/>
  </si>
  <si>
    <t>万石浦中</t>
    <rPh sb="3" eb="4">
      <t>チュウ</t>
    </rPh>
    <phoneticPr fontId="2"/>
  </si>
  <si>
    <t>石巻山下</t>
    <phoneticPr fontId="2"/>
  </si>
  <si>
    <t>石巻湊中学校</t>
    <rPh sb="0" eb="2">
      <t>イシノマキ</t>
    </rPh>
    <rPh sb="3" eb="6">
      <t>チュウガッコウ</t>
    </rPh>
    <phoneticPr fontId="2"/>
  </si>
  <si>
    <t>石巻湊中</t>
    <rPh sb="0" eb="2">
      <t>イシノマキ</t>
    </rPh>
    <rPh sb="3" eb="4">
      <t>チュウ</t>
    </rPh>
    <phoneticPr fontId="2"/>
  </si>
  <si>
    <t>玉浦中</t>
    <rPh sb="2" eb="3">
      <t>チュウ</t>
    </rPh>
    <phoneticPr fontId="2"/>
  </si>
  <si>
    <t>大河原中</t>
    <rPh sb="3" eb="4">
      <t>チュウ</t>
    </rPh>
    <phoneticPr fontId="2"/>
  </si>
  <si>
    <t>古川中</t>
    <rPh sb="2" eb="3">
      <t>チュウ</t>
    </rPh>
    <phoneticPr fontId="2"/>
  </si>
  <si>
    <t>大郷中</t>
    <rPh sb="2" eb="3">
      <t>チュウ</t>
    </rPh>
    <phoneticPr fontId="2"/>
  </si>
  <si>
    <t>角田中</t>
    <rPh sb="2" eb="3">
      <t>チュウ</t>
    </rPh>
    <phoneticPr fontId="2"/>
  </si>
  <si>
    <t>塩竈一中</t>
    <rPh sb="3" eb="4">
      <t>チュウ</t>
    </rPh>
    <phoneticPr fontId="2"/>
  </si>
  <si>
    <t>五橋中</t>
    <rPh sb="2" eb="3">
      <t>チュウ</t>
    </rPh>
    <phoneticPr fontId="2"/>
  </si>
  <si>
    <t>将監中</t>
    <rPh sb="2" eb="3">
      <t>チュウ</t>
    </rPh>
    <phoneticPr fontId="2"/>
  </si>
  <si>
    <t>高砂中</t>
    <rPh sb="2" eb="3">
      <t>チュウ</t>
    </rPh>
    <phoneticPr fontId="2"/>
  </si>
  <si>
    <t>広瀬中</t>
    <rPh sb="2" eb="3">
      <t>チュウ</t>
    </rPh>
    <phoneticPr fontId="2"/>
  </si>
  <si>
    <t>多賀城中</t>
    <rPh sb="3" eb="4">
      <t>チュウ</t>
    </rPh>
    <phoneticPr fontId="2"/>
  </si>
  <si>
    <t>日吉台中</t>
    <rPh sb="3" eb="4">
      <t>チュウ</t>
    </rPh>
    <phoneticPr fontId="2"/>
  </si>
  <si>
    <t>佐沼中</t>
    <rPh sb="2" eb="3">
      <t>チュウ</t>
    </rPh>
    <phoneticPr fontId="2"/>
  </si>
  <si>
    <t>名取一中</t>
    <rPh sb="3" eb="4">
      <t>チュウ</t>
    </rPh>
    <phoneticPr fontId="2"/>
  </si>
  <si>
    <t>みどり台中</t>
    <phoneticPr fontId="2"/>
  </si>
  <si>
    <t>小牛田中</t>
    <rPh sb="3" eb="4">
      <t>チュウ</t>
    </rPh>
    <phoneticPr fontId="2"/>
  </si>
  <si>
    <t>志津川中</t>
    <rPh sb="3" eb="4">
      <t>チュウ</t>
    </rPh>
    <phoneticPr fontId="2"/>
  </si>
  <si>
    <t>しらかし台中</t>
    <rPh sb="5" eb="6">
      <t>チュウ</t>
    </rPh>
    <phoneticPr fontId="2"/>
  </si>
  <si>
    <t>住吉</t>
    <phoneticPr fontId="2"/>
  </si>
  <si>
    <t>蛇田</t>
    <phoneticPr fontId="2"/>
  </si>
  <si>
    <t>万石浦</t>
    <phoneticPr fontId="2"/>
  </si>
  <si>
    <t>石巻湊</t>
    <rPh sb="0" eb="2">
      <t>イシノマキ</t>
    </rPh>
    <phoneticPr fontId="2"/>
  </si>
  <si>
    <t>石巻山下中</t>
    <rPh sb="4" eb="5">
      <t>チュウ</t>
    </rPh>
    <phoneticPr fontId="2"/>
  </si>
  <si>
    <t>玉浦</t>
    <phoneticPr fontId="2"/>
  </si>
  <si>
    <t>大河原</t>
    <phoneticPr fontId="2"/>
  </si>
  <si>
    <t>古川</t>
    <phoneticPr fontId="2"/>
  </si>
  <si>
    <t>大郷</t>
    <phoneticPr fontId="2"/>
  </si>
  <si>
    <t>角田</t>
    <phoneticPr fontId="2"/>
  </si>
  <si>
    <t>塩竈一</t>
    <phoneticPr fontId="2"/>
  </si>
  <si>
    <t>五橋</t>
    <phoneticPr fontId="2"/>
  </si>
  <si>
    <t>将監</t>
    <phoneticPr fontId="2"/>
  </si>
  <si>
    <t>高砂</t>
    <phoneticPr fontId="2"/>
  </si>
  <si>
    <t>広瀬</t>
    <phoneticPr fontId="2"/>
  </si>
  <si>
    <t>多賀城</t>
    <phoneticPr fontId="2"/>
  </si>
  <si>
    <t>日吉台</t>
    <phoneticPr fontId="2"/>
  </si>
  <si>
    <t>佐沼</t>
    <phoneticPr fontId="2"/>
  </si>
  <si>
    <t>名取一</t>
    <phoneticPr fontId="2"/>
  </si>
  <si>
    <t>みどり台</t>
    <phoneticPr fontId="2"/>
  </si>
  <si>
    <t>小牛田</t>
    <phoneticPr fontId="2"/>
  </si>
  <si>
    <t>志津川</t>
    <phoneticPr fontId="2"/>
  </si>
  <si>
    <t>しらかし台</t>
    <phoneticPr fontId="2"/>
  </si>
  <si>
    <t>980-0812</t>
  </si>
  <si>
    <t>石巻市東中里三丁目３番１号</t>
    <phoneticPr fontId="2"/>
  </si>
  <si>
    <t>0225-95-8341</t>
  </si>
  <si>
    <t>0225-95-8342</t>
  </si>
  <si>
    <t>986-0866</t>
  </si>
  <si>
    <t>石巻市茜平五丁目３番地１</t>
    <phoneticPr fontId="2"/>
  </si>
  <si>
    <t>0225-22-2558</t>
  </si>
  <si>
    <t>0225-22-2687</t>
  </si>
  <si>
    <t>986-2103</t>
  </si>
  <si>
    <t>石巻市流留字七勺21番地</t>
    <phoneticPr fontId="2"/>
  </si>
  <si>
    <t>0225-24-3211</t>
  </si>
  <si>
    <t>0225-24-3212</t>
  </si>
  <si>
    <t>986-0832</t>
  </si>
  <si>
    <t>石巻市大門町4-1-1</t>
    <phoneticPr fontId="2"/>
  </si>
  <si>
    <t>0225-95-8351</t>
  </si>
  <si>
    <t>0225-95-8352</t>
  </si>
  <si>
    <t>986-0851</t>
  </si>
  <si>
    <t>石巻市貞山５丁目３－２</t>
    <phoneticPr fontId="2"/>
  </si>
  <si>
    <t>0225-94-0410</t>
  </si>
  <si>
    <t>0225-94-6228</t>
  </si>
  <si>
    <t>989-2423</t>
  </si>
  <si>
    <t>岩沼市押分字新田１</t>
    <phoneticPr fontId="2"/>
  </si>
  <si>
    <t>0223-22-2704</t>
  </si>
  <si>
    <t>0223-22-2905</t>
  </si>
  <si>
    <t>989-1247</t>
  </si>
  <si>
    <t>柴田郡大河原町字東１番地</t>
    <phoneticPr fontId="2"/>
  </si>
  <si>
    <t>0224-52-3501</t>
  </si>
  <si>
    <t>0224-52-3502</t>
  </si>
  <si>
    <t>989-6152</t>
  </si>
  <si>
    <t>大崎市古川二ノ構７番５４号</t>
    <phoneticPr fontId="2"/>
  </si>
  <si>
    <t>0229-22-0236</t>
  </si>
  <si>
    <t>0229-22-6686</t>
  </si>
  <si>
    <t>981-3502</t>
  </si>
  <si>
    <t>黒川郡大郷町粕川字東長崎３番地</t>
  </si>
  <si>
    <t>022-359-2042</t>
  </si>
  <si>
    <t>022-359-4984</t>
  </si>
  <si>
    <t>角田市角田字牛舘２－１</t>
    <phoneticPr fontId="2"/>
  </si>
  <si>
    <t>0224-63-1141</t>
  </si>
  <si>
    <t>0224-63-0354</t>
  </si>
  <si>
    <t>985-0073</t>
  </si>
  <si>
    <t>塩竈市みのが丘3-1</t>
    <phoneticPr fontId="2"/>
  </si>
  <si>
    <t>022-362-1321</t>
  </si>
  <si>
    <t>022-362-1811</t>
  </si>
  <si>
    <t>980-0022</t>
  </si>
  <si>
    <t>仙台市青葉区五橋２－２－１</t>
    <phoneticPr fontId="2"/>
  </si>
  <si>
    <t>022-225-5476</t>
  </si>
  <si>
    <t>022-217-9723</t>
  </si>
  <si>
    <t>981-3132</t>
  </si>
  <si>
    <t>仙台市泉区将監９－１２－１</t>
  </si>
  <si>
    <t>022-373-1286</t>
  </si>
  <si>
    <t>022-373-4136</t>
  </si>
  <si>
    <t>983-0006</t>
  </si>
  <si>
    <t>仙台市宮城野区白鳥１丁目３２－１</t>
    <phoneticPr fontId="2"/>
  </si>
  <si>
    <t>022-258-0038</t>
  </si>
  <si>
    <t>022-258-9649</t>
  </si>
  <si>
    <t>989-3123</t>
  </si>
  <si>
    <t>仙台市青葉区</t>
  </si>
  <si>
    <t>022-392-2214</t>
  </si>
  <si>
    <t>022-391-1382</t>
  </si>
  <si>
    <t>985-0841</t>
  </si>
  <si>
    <t>多賀城市鶴ヶ谷１丁目９番１号</t>
  </si>
  <si>
    <t>022(365)7411</t>
  </si>
  <si>
    <t>022(365)7414</t>
  </si>
  <si>
    <t>981-3362</t>
  </si>
  <si>
    <t>黒川郡富谷町日吉台三丁目１９－２</t>
    <phoneticPr fontId="2"/>
  </si>
  <si>
    <t>022-358-1629</t>
  </si>
  <si>
    <t>022-358-1642</t>
  </si>
  <si>
    <t>987-0511</t>
  </si>
  <si>
    <t>登米市迫町佐沼沼向４番地</t>
    <phoneticPr fontId="2"/>
  </si>
  <si>
    <t>0220-22-2760</t>
    <phoneticPr fontId="2"/>
  </si>
  <si>
    <t>0220-22-8422</t>
    <phoneticPr fontId="2"/>
  </si>
  <si>
    <t>名取市小山１－８－１</t>
    <phoneticPr fontId="2"/>
  </si>
  <si>
    <t>022-382-3321</t>
  </si>
  <si>
    <t>022-382-3032</t>
  </si>
  <si>
    <t>981-1247</t>
  </si>
  <si>
    <t>名取市みどり台一丁目４番地</t>
    <phoneticPr fontId="2"/>
  </si>
  <si>
    <t>022-381-2032</t>
  </si>
  <si>
    <t>022-386-7887</t>
  </si>
  <si>
    <t>987-0004</t>
  </si>
  <si>
    <t>遠田郡美里町牛飼字新西原３１０</t>
    <phoneticPr fontId="2"/>
  </si>
  <si>
    <t>0229-32-2402</t>
  </si>
  <si>
    <t>022-32-3027</t>
  </si>
  <si>
    <t>986-0754</t>
  </si>
  <si>
    <t>本吉郡南三陸町志津川字助作１－１</t>
    <phoneticPr fontId="2"/>
  </si>
  <si>
    <t>0226-46-3666</t>
  </si>
  <si>
    <t>0226-46-3650</t>
  </si>
  <si>
    <t>981-0134</t>
  </si>
  <si>
    <t>宮城郡利府町しらかし台２－６</t>
    <phoneticPr fontId="2"/>
  </si>
  <si>
    <t>022-356-8055</t>
  </si>
  <si>
    <t>022-356-9982</t>
  </si>
  <si>
    <t>いわきしりつたいらだいいちゅうがっこう</t>
    <phoneticPr fontId="2"/>
  </si>
  <si>
    <t>いわきしりつたいらだいさんちゅうがっこう</t>
    <phoneticPr fontId="2"/>
  </si>
  <si>
    <t>いわきしりつよつくらちゅうがっこう</t>
    <phoneticPr fontId="2"/>
  </si>
  <si>
    <t>いわきしりつよしまちゅうがっこう</t>
    <phoneticPr fontId="2"/>
  </si>
  <si>
    <t>いわきしりつおなはまだいいちちゅうがっこう</t>
    <phoneticPr fontId="2"/>
  </si>
  <si>
    <t>いわきしりつおなはまだいにちゅうがっこう</t>
    <phoneticPr fontId="2"/>
  </si>
  <si>
    <t>いわきしりつえなちゅうがっこう</t>
    <phoneticPr fontId="2"/>
  </si>
  <si>
    <t>いわきしりついずみちゅうがっこう</t>
    <phoneticPr fontId="2"/>
  </si>
  <si>
    <t>いわきしりつゆもとだいいちちゅうがっこう</t>
    <phoneticPr fontId="2"/>
  </si>
  <si>
    <t>いわきしりつゆもとだいにちゅうがっこう</t>
    <phoneticPr fontId="2"/>
  </si>
  <si>
    <t>いわきしりついわさきちゅうがっこう</t>
    <phoneticPr fontId="2"/>
  </si>
  <si>
    <t>いわきしりつうえだちゅうがっこう</t>
    <phoneticPr fontId="2"/>
  </si>
  <si>
    <t>いわきしりつにしきちゅうがっこう</t>
    <phoneticPr fontId="2"/>
  </si>
  <si>
    <t>いわきしりつなこそだいいちちゅうがっこう</t>
    <phoneticPr fontId="2"/>
  </si>
  <si>
    <t>髙木式大会申込フォームの使い方！</t>
    <rPh sb="0" eb="2">
      <t>タカギ</t>
    </rPh>
    <rPh sb="2" eb="3">
      <t>シキ</t>
    </rPh>
    <rPh sb="3" eb="4">
      <t>タイ</t>
    </rPh>
    <rPh sb="4" eb="5">
      <t>カイ</t>
    </rPh>
    <rPh sb="5" eb="7">
      <t>モウシコミ</t>
    </rPh>
    <rPh sb="12" eb="13">
      <t>ツカ</t>
    </rPh>
    <rPh sb="14" eb="15">
      <t>カタ</t>
    </rPh>
    <phoneticPr fontId="2"/>
  </si>
  <si>
    <t>☆２２年度から、１年間に行われる県レベルの大会の申し込みを１つのブックで済ませられるようにしました！
　年度を変えれば平成４４年度まで回数が繰り上がるようになっています！(年号が変われば直しますが･･･)
　学校にこのブックを保存していただければ、学校長や顧問、外部コーチが変更になっても対応できます！
☆すべての基本は「メインシート」と「名簿マスター」です！
　必要事項を入力し、各大会の「入力ﾌｫｰﾑ」に数字を入れれば「印刷」に反映します！
　申込書を印刷し、学校長の職印を押印して要項の申し込み先にご郵送ください！
　データでの申し込みは要項に示したアドレスまでご送信ください！</t>
    <rPh sb="9" eb="11">
      <t>ネンカン</t>
    </rPh>
    <rPh sb="12" eb="13">
      <t>オコナ</t>
    </rPh>
    <rPh sb="16" eb="17">
      <t>ケン</t>
    </rPh>
    <rPh sb="21" eb="22">
      <t>タイ</t>
    </rPh>
    <rPh sb="22" eb="23">
      <t>カイ</t>
    </rPh>
    <rPh sb="24" eb="25">
      <t>モウ</t>
    </rPh>
    <rPh sb="26" eb="27">
      <t>コ</t>
    </rPh>
    <rPh sb="36" eb="37">
      <t>ス</t>
    </rPh>
    <rPh sb="52" eb="54">
      <t>ネンド</t>
    </rPh>
    <rPh sb="55" eb="56">
      <t>カ</t>
    </rPh>
    <rPh sb="59" eb="61">
      <t>ヘイセイ</t>
    </rPh>
    <rPh sb="63" eb="65">
      <t>ネンド</t>
    </rPh>
    <rPh sb="67" eb="69">
      <t>カイスウ</t>
    </rPh>
    <rPh sb="70" eb="71">
      <t>ク</t>
    </rPh>
    <rPh sb="72" eb="73">
      <t>ア</t>
    </rPh>
    <rPh sb="86" eb="88">
      <t>ネンゴウ</t>
    </rPh>
    <rPh sb="89" eb="90">
      <t>カ</t>
    </rPh>
    <rPh sb="93" eb="94">
      <t>ナオ</t>
    </rPh>
    <rPh sb="104" eb="106">
      <t>ガッコウ</t>
    </rPh>
    <rPh sb="113" eb="115">
      <t>ホゾン</t>
    </rPh>
    <rPh sb="124" eb="127">
      <t>ガッコウチョウ</t>
    </rPh>
    <rPh sb="128" eb="130">
      <t>コモン</t>
    </rPh>
    <rPh sb="131" eb="133">
      <t>ガイブ</t>
    </rPh>
    <rPh sb="137" eb="139">
      <t>ヘンコウ</t>
    </rPh>
    <rPh sb="144" eb="146">
      <t>タイオウ</t>
    </rPh>
    <rPh sb="158" eb="160">
      <t>キホン</t>
    </rPh>
    <rPh sb="171" eb="173">
      <t>メイボ</t>
    </rPh>
    <rPh sb="183" eb="185">
      <t>ヒツヨウ</t>
    </rPh>
    <rPh sb="185" eb="187">
      <t>ジコウ</t>
    </rPh>
    <rPh sb="188" eb="190">
      <t>ニュウリョク</t>
    </rPh>
    <rPh sb="192" eb="193">
      <t>カク</t>
    </rPh>
    <rPh sb="193" eb="194">
      <t>タイ</t>
    </rPh>
    <rPh sb="194" eb="195">
      <t>カイ</t>
    </rPh>
    <rPh sb="197" eb="199">
      <t>ニュウリョク</t>
    </rPh>
    <rPh sb="205" eb="207">
      <t>スウジ</t>
    </rPh>
    <rPh sb="208" eb="209">
      <t>イ</t>
    </rPh>
    <rPh sb="213" eb="215">
      <t>インサツ</t>
    </rPh>
    <rPh sb="217" eb="219">
      <t>ハンエイ</t>
    </rPh>
    <rPh sb="225" eb="227">
      <t>モウシコミ</t>
    </rPh>
    <rPh sb="227" eb="228">
      <t>ショ</t>
    </rPh>
    <rPh sb="229" eb="231">
      <t>インサツ</t>
    </rPh>
    <rPh sb="233" eb="236">
      <t>ガッコウチョウ</t>
    </rPh>
    <rPh sb="237" eb="239">
      <t>ショクイン</t>
    </rPh>
    <rPh sb="240" eb="242">
      <t>オウイン</t>
    </rPh>
    <rPh sb="244" eb="246">
      <t>ヨウコウ</t>
    </rPh>
    <rPh sb="247" eb="248">
      <t>モウ</t>
    </rPh>
    <rPh sb="249" eb="250">
      <t>コ</t>
    </rPh>
    <rPh sb="251" eb="252">
      <t>サキ</t>
    </rPh>
    <rPh sb="254" eb="256">
      <t>ユウソウ</t>
    </rPh>
    <rPh sb="268" eb="269">
      <t>モウ</t>
    </rPh>
    <rPh sb="270" eb="271">
      <t>コ</t>
    </rPh>
    <rPh sb="273" eb="275">
      <t>ヨウコウ</t>
    </rPh>
    <rPh sb="276" eb="277">
      <t>シメ</t>
    </rPh>
    <rPh sb="286" eb="288">
      <t>ソウシン</t>
    </rPh>
    <phoneticPr fontId="2"/>
  </si>
  <si>
    <t>１.「メインシート」に必要事項を入力する！</t>
    <rPh sb="11" eb="13">
      <t>ヒツヨウ</t>
    </rPh>
    <rPh sb="13" eb="15">
      <t>ジコウ</t>
    </rPh>
    <rPh sb="16" eb="18">
      <t>ニュウリョク</t>
    </rPh>
    <phoneticPr fontId="2"/>
  </si>
  <si>
    <t>２.「名簿マスター」に必要事項を入力する！</t>
    <rPh sb="3" eb="5">
      <t>メイボ</t>
    </rPh>
    <rPh sb="11" eb="13">
      <t>ヒツヨウ</t>
    </rPh>
    <rPh sb="13" eb="15">
      <t>ジコウ</t>
    </rPh>
    <rPh sb="16" eb="18">
      <t>ニュウリョク</t>
    </rPh>
    <phoneticPr fontId="2"/>
  </si>
  <si>
    <t>都道府県コード表</t>
    <rPh sb="0" eb="4">
      <t>トドウフケン</t>
    </rPh>
    <rPh sb="7" eb="8">
      <t>ヒョウ</t>
    </rPh>
    <phoneticPr fontId="2"/>
  </si>
  <si>
    <t>３.「入力フォーム」に必要事項を入力する！</t>
    <rPh sb="3" eb="5">
      <t>ニュウリョク</t>
    </rPh>
    <rPh sb="11" eb="13">
      <t>ヒツヨウ</t>
    </rPh>
    <rPh sb="13" eb="15">
      <t>ジコウ</t>
    </rPh>
    <rPh sb="16" eb="18">
      <t>ニュウリョク</t>
    </rPh>
    <phoneticPr fontId="2"/>
  </si>
  <si>
    <t>みずほ銀行　東武支店</t>
    <rPh sb="3" eb="5">
      <t>ギンコウ</t>
    </rPh>
    <rPh sb="6" eb="8">
      <t>トウブ</t>
    </rPh>
    <rPh sb="8" eb="10">
      <t>シテン</t>
    </rPh>
    <phoneticPr fontId="2"/>
  </si>
  <si>
    <t>当座預金　　９７５８００３</t>
    <rPh sb="0" eb="2">
      <t>トウザ</t>
    </rPh>
    <rPh sb="2" eb="4">
      <t>ヨキン</t>
    </rPh>
    <phoneticPr fontId="2"/>
  </si>
  <si>
    <t>東武トップツアーズ株式会社</t>
    <phoneticPr fontId="2"/>
  </si>
  <si>
    <t>厨川中学校</t>
    <rPh sb="2" eb="5">
      <t>チュウガッコウ</t>
    </rPh>
    <phoneticPr fontId="2"/>
  </si>
  <si>
    <t>雫石中学校</t>
    <rPh sb="2" eb="5">
      <t>チュウガッコウ</t>
    </rPh>
    <phoneticPr fontId="2"/>
  </si>
  <si>
    <t>滝沢第二中学校</t>
    <rPh sb="4" eb="7">
      <t>チュウガッコウ</t>
    </rPh>
    <phoneticPr fontId="2"/>
  </si>
  <si>
    <t>見前南中学校</t>
    <rPh sb="3" eb="6">
      <t>チュウガッコウ</t>
    </rPh>
    <phoneticPr fontId="2"/>
  </si>
  <si>
    <t>大宮中学校</t>
    <rPh sb="2" eb="5">
      <t>チュウガッコウ</t>
    </rPh>
    <phoneticPr fontId="2"/>
  </si>
  <si>
    <t>大船渡中学校</t>
    <rPh sb="3" eb="6">
      <t>チュウガッコウ</t>
    </rPh>
    <phoneticPr fontId="2"/>
  </si>
  <si>
    <t>日頃市中学校</t>
    <rPh sb="3" eb="6">
      <t>チュウガッコウ</t>
    </rPh>
    <phoneticPr fontId="2"/>
  </si>
  <si>
    <t>江刺第一中学校</t>
    <rPh sb="4" eb="7">
      <t>チュウガッコウ</t>
    </rPh>
    <phoneticPr fontId="2"/>
  </si>
  <si>
    <t>江釣子中学校</t>
    <rPh sb="3" eb="6">
      <t>チュウガッコウ</t>
    </rPh>
    <phoneticPr fontId="2"/>
  </si>
  <si>
    <t>釜石中学校</t>
    <rPh sb="2" eb="5">
      <t>チュウガッコウ</t>
    </rPh>
    <phoneticPr fontId="2"/>
  </si>
  <si>
    <t>東和中学校</t>
    <rPh sb="2" eb="5">
      <t>チュウガッコウ</t>
    </rPh>
    <phoneticPr fontId="2"/>
  </si>
  <si>
    <t>河南中学校</t>
    <rPh sb="2" eb="5">
      <t>チュウガッコウ</t>
    </rPh>
    <phoneticPr fontId="2"/>
  </si>
  <si>
    <t>宮古西中学校</t>
    <rPh sb="3" eb="6">
      <t>チュウガッコウ</t>
    </rPh>
    <phoneticPr fontId="2"/>
  </si>
  <si>
    <t>宮古第一中学校</t>
    <rPh sb="4" eb="7">
      <t>チュウガッコウ</t>
    </rPh>
    <phoneticPr fontId="2"/>
  </si>
  <si>
    <t>久慈中学校</t>
    <rPh sb="2" eb="5">
      <t>チュウガッコウ</t>
    </rPh>
    <phoneticPr fontId="2"/>
  </si>
  <si>
    <t>長内中学校</t>
    <rPh sb="2" eb="5">
      <t>チュウガッコウ</t>
    </rPh>
    <phoneticPr fontId="2"/>
  </si>
  <si>
    <t>山田中学校</t>
    <rPh sb="2" eb="5">
      <t>チュウガッコウ</t>
    </rPh>
    <phoneticPr fontId="2"/>
  </si>
  <si>
    <t>石鳥谷中学校</t>
    <rPh sb="3" eb="6">
      <t>チュウガッコウ</t>
    </rPh>
    <phoneticPr fontId="2"/>
  </si>
  <si>
    <t>大迫中学校</t>
    <rPh sb="2" eb="5">
      <t>チュウガッコウ</t>
    </rPh>
    <phoneticPr fontId="2"/>
  </si>
  <si>
    <t>一戸中学校</t>
    <rPh sb="2" eb="5">
      <t>チュウガッコウ</t>
    </rPh>
    <phoneticPr fontId="2"/>
  </si>
  <si>
    <t>福岡中学校</t>
    <rPh sb="2" eb="5">
      <t>チュウガッコウ</t>
    </rPh>
    <phoneticPr fontId="2"/>
  </si>
  <si>
    <t>種市中学校</t>
    <rPh sb="2" eb="5">
      <t>チュウガッコウ</t>
    </rPh>
    <phoneticPr fontId="2"/>
  </si>
  <si>
    <t>高田第一中学校</t>
    <rPh sb="4" eb="7">
      <t>チュウガッコウ</t>
    </rPh>
    <phoneticPr fontId="2"/>
  </si>
  <si>
    <t>前沢中学校</t>
    <rPh sb="2" eb="5">
      <t>チュウガッコウ</t>
    </rPh>
    <phoneticPr fontId="2"/>
  </si>
  <si>
    <t>北上中学校</t>
    <rPh sb="2" eb="5">
      <t>チュウガッコウ</t>
    </rPh>
    <phoneticPr fontId="2"/>
  </si>
  <si>
    <t>厨川中</t>
    <rPh sb="2" eb="3">
      <t>チュウ</t>
    </rPh>
    <phoneticPr fontId="2"/>
  </si>
  <si>
    <t>雫石中</t>
    <rPh sb="2" eb="3">
      <t>チュウ</t>
    </rPh>
    <phoneticPr fontId="2"/>
  </si>
  <si>
    <t>滝沢二中</t>
    <rPh sb="3" eb="4">
      <t>チュウ</t>
    </rPh>
    <phoneticPr fontId="2"/>
  </si>
  <si>
    <t>見前南中</t>
    <rPh sb="3" eb="4">
      <t>チュウ</t>
    </rPh>
    <phoneticPr fontId="2"/>
  </si>
  <si>
    <t>大宮中</t>
    <rPh sb="2" eb="3">
      <t>チュウ</t>
    </rPh>
    <phoneticPr fontId="2"/>
  </si>
  <si>
    <t>大船渡中</t>
    <rPh sb="3" eb="4">
      <t>チュウ</t>
    </rPh>
    <phoneticPr fontId="2"/>
  </si>
  <si>
    <t>日頃市中</t>
    <rPh sb="3" eb="4">
      <t>チュウ</t>
    </rPh>
    <phoneticPr fontId="2"/>
  </si>
  <si>
    <t>江刺一中</t>
    <rPh sb="3" eb="4">
      <t>チュウ</t>
    </rPh>
    <phoneticPr fontId="2"/>
  </si>
  <si>
    <t>江釣子中</t>
    <rPh sb="3" eb="4">
      <t>チュウ</t>
    </rPh>
    <phoneticPr fontId="2"/>
  </si>
  <si>
    <t>釜石中</t>
    <rPh sb="2" eb="3">
      <t>チュウ</t>
    </rPh>
    <phoneticPr fontId="2"/>
  </si>
  <si>
    <t>東和中</t>
    <rPh sb="2" eb="3">
      <t>チュウ</t>
    </rPh>
    <phoneticPr fontId="2"/>
  </si>
  <si>
    <t>河南中</t>
    <rPh sb="2" eb="3">
      <t>チュウ</t>
    </rPh>
    <phoneticPr fontId="2"/>
  </si>
  <si>
    <t>宮古西中</t>
    <rPh sb="3" eb="4">
      <t>チュウ</t>
    </rPh>
    <phoneticPr fontId="2"/>
  </si>
  <si>
    <t>宮古一中</t>
    <rPh sb="3" eb="4">
      <t>チュウ</t>
    </rPh>
    <phoneticPr fontId="2"/>
  </si>
  <si>
    <t>久慈中</t>
    <rPh sb="2" eb="3">
      <t>チュウ</t>
    </rPh>
    <phoneticPr fontId="2"/>
  </si>
  <si>
    <t>長内中</t>
    <rPh sb="2" eb="3">
      <t>チュウ</t>
    </rPh>
    <phoneticPr fontId="2"/>
  </si>
  <si>
    <t>山田中</t>
    <rPh sb="2" eb="3">
      <t>チュウ</t>
    </rPh>
    <phoneticPr fontId="2"/>
  </si>
  <si>
    <t>石鳥谷中</t>
    <rPh sb="3" eb="4">
      <t>チュウ</t>
    </rPh>
    <phoneticPr fontId="2"/>
  </si>
  <si>
    <t>大迫中</t>
    <rPh sb="2" eb="3">
      <t>チュウ</t>
    </rPh>
    <phoneticPr fontId="2"/>
  </si>
  <si>
    <t>一戸中</t>
    <rPh sb="2" eb="3">
      <t>チュウ</t>
    </rPh>
    <phoneticPr fontId="2"/>
  </si>
  <si>
    <t>福岡中</t>
    <rPh sb="2" eb="3">
      <t>チュウ</t>
    </rPh>
    <phoneticPr fontId="2"/>
  </si>
  <si>
    <t>種市中</t>
    <rPh sb="2" eb="3">
      <t>チュウ</t>
    </rPh>
    <phoneticPr fontId="2"/>
  </si>
  <si>
    <t>高田一中</t>
    <rPh sb="3" eb="4">
      <t>チュウ</t>
    </rPh>
    <phoneticPr fontId="2"/>
  </si>
  <si>
    <t>前沢中</t>
    <rPh sb="2" eb="3">
      <t>チュウ</t>
    </rPh>
    <phoneticPr fontId="2"/>
  </si>
  <si>
    <t>北上中</t>
    <rPh sb="2" eb="3">
      <t>チュウ</t>
    </rPh>
    <phoneticPr fontId="2"/>
  </si>
  <si>
    <t>厨川</t>
    <phoneticPr fontId="2"/>
  </si>
  <si>
    <t>雫石</t>
    <phoneticPr fontId="2"/>
  </si>
  <si>
    <t>滝沢二</t>
    <phoneticPr fontId="2"/>
  </si>
  <si>
    <t>見前南</t>
    <phoneticPr fontId="2"/>
  </si>
  <si>
    <t>大宮</t>
    <phoneticPr fontId="2"/>
  </si>
  <si>
    <t>大船渡</t>
    <phoneticPr fontId="2"/>
  </si>
  <si>
    <t>日頃市</t>
    <phoneticPr fontId="2"/>
  </si>
  <si>
    <t>江刺一</t>
    <phoneticPr fontId="2"/>
  </si>
  <si>
    <t>江釣子</t>
    <phoneticPr fontId="2"/>
  </si>
  <si>
    <t>釜石</t>
    <phoneticPr fontId="2"/>
  </si>
  <si>
    <t>東和</t>
    <phoneticPr fontId="2"/>
  </si>
  <si>
    <t>河南</t>
    <phoneticPr fontId="2"/>
  </si>
  <si>
    <t>宮古西</t>
    <phoneticPr fontId="2"/>
  </si>
  <si>
    <t>宮古一</t>
    <phoneticPr fontId="2"/>
  </si>
  <si>
    <t>久慈</t>
    <phoneticPr fontId="2"/>
  </si>
  <si>
    <t>長内</t>
    <phoneticPr fontId="2"/>
  </si>
  <si>
    <t>山田</t>
    <phoneticPr fontId="2"/>
  </si>
  <si>
    <t>石鳥谷</t>
    <phoneticPr fontId="2"/>
  </si>
  <si>
    <t>大迫</t>
    <phoneticPr fontId="2"/>
  </si>
  <si>
    <t>一戸</t>
    <phoneticPr fontId="2"/>
  </si>
  <si>
    <t>福岡</t>
    <phoneticPr fontId="2"/>
  </si>
  <si>
    <t>種市</t>
    <phoneticPr fontId="2"/>
  </si>
  <si>
    <t>高田一</t>
    <phoneticPr fontId="2"/>
  </si>
  <si>
    <t>前沢</t>
    <phoneticPr fontId="2"/>
  </si>
  <si>
    <t>北上</t>
    <phoneticPr fontId="2"/>
  </si>
  <si>
    <t>秋田仙北中学校</t>
    <rPh sb="0" eb="2">
      <t>アキタ</t>
    </rPh>
    <rPh sb="4" eb="7">
      <t>チュウガッコウ</t>
    </rPh>
    <phoneticPr fontId="2"/>
  </si>
  <si>
    <t>秋田仙北中</t>
    <rPh sb="0" eb="2">
      <t>アキタ</t>
    </rPh>
    <rPh sb="4" eb="5">
      <t>チュウ</t>
    </rPh>
    <phoneticPr fontId="2"/>
  </si>
  <si>
    <t>秋田仙北</t>
    <rPh sb="0" eb="2">
      <t>アキタ</t>
    </rPh>
    <phoneticPr fontId="2"/>
  </si>
  <si>
    <t>盛岡仙北中学校</t>
    <rPh sb="0" eb="2">
      <t>モリオカ</t>
    </rPh>
    <rPh sb="4" eb="7">
      <t>チュウガッコウ</t>
    </rPh>
    <phoneticPr fontId="2"/>
  </si>
  <si>
    <t>盛岡仙北中</t>
    <rPh sb="0" eb="2">
      <t>モリオカ</t>
    </rPh>
    <rPh sb="4" eb="5">
      <t>チュウ</t>
    </rPh>
    <phoneticPr fontId="2"/>
  </si>
  <si>
    <t>盛岡仙北</t>
    <rPh sb="0" eb="2">
      <t>モリオカ</t>
    </rPh>
    <phoneticPr fontId="2"/>
  </si>
  <si>
    <t>№</t>
    <phoneticPr fontId="2"/>
  </si>
  <si>
    <t>平田村ひらた清風中学校</t>
    <rPh sb="6" eb="8">
      <t>セイフウ</t>
    </rPh>
    <phoneticPr fontId="2"/>
  </si>
  <si>
    <t>ひらた清風中学校</t>
    <rPh sb="3" eb="5">
      <t>セイフウ</t>
    </rPh>
    <phoneticPr fontId="2"/>
  </si>
  <si>
    <t>ひらた清風中</t>
    <rPh sb="3" eb="5">
      <t>セイフウ</t>
    </rPh>
    <phoneticPr fontId="2"/>
  </si>
  <si>
    <t>ひらた清風</t>
    <rPh sb="3" eb="5">
      <t>セイフウ</t>
    </rPh>
    <phoneticPr fontId="2"/>
  </si>
  <si>
    <t>0247-55-2005</t>
  </si>
  <si>
    <t>0247-55-3209</t>
  </si>
  <si>
    <t>963-8202</t>
  </si>
  <si>
    <t>石川郡平田村大字上蓬田字切山１</t>
    <rPh sb="0" eb="2">
      <t>イシカワ</t>
    </rPh>
    <rPh sb="2" eb="3">
      <t>グン</t>
    </rPh>
    <rPh sb="3" eb="6">
      <t>ヒラタムラ</t>
    </rPh>
    <rPh sb="6" eb="8">
      <t>オオアザ</t>
    </rPh>
    <rPh sb="8" eb="9">
      <t>カミ</t>
    </rPh>
    <rPh sb="9" eb="11">
      <t>ヨモギダ</t>
    </rPh>
    <rPh sb="11" eb="12">
      <t>アザ</t>
    </rPh>
    <rPh sb="12" eb="13">
      <t>キ</t>
    </rPh>
    <rPh sb="13" eb="14">
      <t>ヤマ</t>
    </rPh>
    <phoneticPr fontId="2"/>
  </si>
  <si>
    <t>４.申込フォームにエラーがあったら！</t>
    <rPh sb="2" eb="4">
      <t>モウシコミ</t>
    </rPh>
    <phoneticPr fontId="2"/>
  </si>
  <si>
    <t>※</t>
    <phoneticPr fontId="2"/>
  </si>
  <si>
    <t>「データリンク」に関するエラーの場合は･･･</t>
    <rPh sb="9" eb="10">
      <t>カン</t>
    </rPh>
    <rPh sb="16" eb="18">
      <t>バアイ</t>
    </rPh>
    <phoneticPr fontId="2"/>
  </si>
  <si>
    <t>上部タグ「校閲」→「シートの保護解除」→数式の訂正または直接入力する！</t>
    <rPh sb="0" eb="2">
      <t>ジョウブ</t>
    </rPh>
    <rPh sb="5" eb="7">
      <t>コウエツ</t>
    </rPh>
    <rPh sb="14" eb="16">
      <t>ホゴ</t>
    </rPh>
    <rPh sb="16" eb="18">
      <t>カイジョ</t>
    </rPh>
    <rPh sb="20" eb="22">
      <t>スウシキ</t>
    </rPh>
    <rPh sb="23" eb="25">
      <t>テイセイ</t>
    </rPh>
    <rPh sb="28" eb="30">
      <t>チョクセツ</t>
    </rPh>
    <rPh sb="30" eb="32">
      <t>ニュウリョク</t>
    </rPh>
    <phoneticPr fontId="2"/>
  </si>
  <si>
    <t>携帯(090-3647-1770)　e-mail(sasuke@d3.dion.ne.jp)</t>
    <rPh sb="0" eb="2">
      <t>ケイタイ</t>
    </rPh>
    <phoneticPr fontId="2"/>
  </si>
  <si>
    <t>庶務(内郷一中 髙木)までご連絡ください！</t>
    <rPh sb="0" eb="2">
      <t>ショム</t>
    </rPh>
    <rPh sb="3" eb="5">
      <t>ウチゴウ</t>
    </rPh>
    <rPh sb="5" eb="6">
      <t>イチ</t>
    </rPh>
    <rPh sb="6" eb="7">
      <t>チュウ</t>
    </rPh>
    <rPh sb="8" eb="10">
      <t>タカギ</t>
    </rPh>
    <rPh sb="14" eb="16">
      <t>レンラク</t>
    </rPh>
    <phoneticPr fontId="2"/>
  </si>
  <si>
    <t>どうしてもエラーが解消されない･･･なんだかわからない場合は･･･</t>
    <rPh sb="9" eb="11">
      <t>カイショウ</t>
    </rPh>
    <rPh sb="27" eb="29">
      <t>バアイ</t>
    </rPh>
    <phoneticPr fontId="2"/>
  </si>
  <si>
    <t>いずれか一方に○を入れてください。</t>
    <rPh sb="4" eb="6">
      <t>イッポウ</t>
    </rPh>
    <rPh sb="9" eb="10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</si>
</sst>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;0;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color indexed="12"/>
      <name val="ＭＳ ゴシック"/>
      <family val="3"/>
      <charset val="128"/>
    </font>
    <font>
      <b/>
      <sz val="14"/>
      <color rgb="FF0000FF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4"/>
      <color indexed="13"/>
      <name val="HG創英丸ﾎﾟｯﾌﾟ体"/>
      <family val="3"/>
      <charset val="128"/>
    </font>
    <font>
      <b/>
      <sz val="11"/>
      <color indexed="12"/>
      <name val="ＭＳ ゴシック"/>
      <family val="3"/>
      <charset val="128"/>
    </font>
    <font>
      <b/>
      <sz val="18"/>
      <color indexed="13"/>
      <name val="ＭＳ ゴシック"/>
      <family val="3"/>
      <charset val="128"/>
    </font>
    <font>
      <b/>
      <sz val="24"/>
      <color indexed="12"/>
      <name val="ＭＳ ゴシック"/>
      <family val="3"/>
      <charset val="128"/>
    </font>
    <font>
      <b/>
      <sz val="14"/>
      <color indexed="13"/>
      <name val="HG丸ｺﾞｼｯｸM-PRO"/>
      <family val="3"/>
      <charset val="128"/>
    </font>
    <font>
      <sz val="18"/>
      <color rgb="FFFFFF00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明朝"/>
      <family val="1"/>
      <charset val="128"/>
    </font>
    <font>
      <sz val="36"/>
      <color indexed="9"/>
      <name val="ＭＳ ゴシック"/>
      <family val="3"/>
      <charset val="128"/>
    </font>
    <font>
      <b/>
      <sz val="48"/>
      <color indexed="9"/>
      <name val="HG創英丸ﾎﾟｯﾌﾟ体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24"/>
      <name val="HG創英丸ﾎﾟｯﾌﾟ体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u/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color rgb="FF0000FF"/>
      <name val="HG創英丸ﾎﾟｯﾌﾟ体"/>
      <family val="3"/>
      <charset val="128"/>
    </font>
    <font>
      <sz val="11"/>
      <color rgb="FF0000FF"/>
      <name val="ＭＳ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</fills>
  <borders count="10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indexed="9"/>
      </left>
      <right style="dotted">
        <color indexed="9"/>
      </right>
      <top style="thick">
        <color indexed="9"/>
      </top>
      <bottom style="dotted">
        <color indexed="9"/>
      </bottom>
      <diagonal/>
    </border>
    <border>
      <left style="dotted">
        <color indexed="9"/>
      </left>
      <right style="dotted">
        <color indexed="9"/>
      </right>
      <top style="thick">
        <color indexed="9"/>
      </top>
      <bottom style="dotted">
        <color indexed="9"/>
      </bottom>
      <diagonal/>
    </border>
    <border>
      <left style="dotted">
        <color indexed="9"/>
      </left>
      <right style="thick">
        <color indexed="9"/>
      </right>
      <top style="thick">
        <color indexed="9"/>
      </top>
      <bottom style="dotted">
        <color indexed="9"/>
      </bottom>
      <diagonal/>
    </border>
    <border>
      <left/>
      <right style="dotted">
        <color indexed="64"/>
      </right>
      <top style="dotted">
        <color auto="1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ck">
        <color indexed="9"/>
      </left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dotted">
        <color indexed="9"/>
      </left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dotted">
        <color indexed="9"/>
      </left>
      <right style="thick">
        <color indexed="9"/>
      </right>
      <top style="dotted">
        <color indexed="9"/>
      </top>
      <bottom style="dotted">
        <color indexed="9"/>
      </bottom>
      <diagonal/>
    </border>
    <border>
      <left style="dotted">
        <color auto="1"/>
      </left>
      <right/>
      <top style="dotted">
        <color auto="1"/>
      </top>
      <bottom style="dotted">
        <color indexed="64"/>
      </bottom>
      <diagonal/>
    </border>
    <border>
      <left style="thick">
        <color indexed="9"/>
      </left>
      <right style="dotted">
        <color indexed="9"/>
      </right>
      <top style="dotted">
        <color indexed="9"/>
      </top>
      <bottom style="thick">
        <color indexed="9"/>
      </bottom>
      <diagonal/>
    </border>
    <border>
      <left style="dotted">
        <color indexed="9"/>
      </left>
      <right style="dotted">
        <color indexed="9"/>
      </right>
      <top style="dotted">
        <color indexed="9"/>
      </top>
      <bottom style="thick">
        <color indexed="9"/>
      </bottom>
      <diagonal/>
    </border>
    <border>
      <left style="dotted">
        <color indexed="9"/>
      </left>
      <right style="thick">
        <color indexed="9"/>
      </right>
      <top style="dotted">
        <color indexed="9"/>
      </top>
      <bottom style="thick">
        <color indexed="9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>
      <alignment vertical="center"/>
    </xf>
    <xf numFmtId="0" fontId="1" fillId="0" borderId="0"/>
    <xf numFmtId="0" fontId="1" fillId="0" borderId="0"/>
  </cellStyleXfs>
  <cellXfs count="604">
    <xf numFmtId="0" fontId="0" fillId="0" borderId="0" xfId="0"/>
    <xf numFmtId="0" fontId="8" fillId="0" borderId="0" xfId="1" applyFont="1"/>
    <xf numFmtId="0" fontId="9" fillId="0" borderId="0" xfId="1" applyFont="1"/>
    <xf numFmtId="176" fontId="8" fillId="0" borderId="9" xfId="5" applyNumberFormat="1" applyFont="1" applyBorder="1" applyAlignment="1">
      <alignment horizontal="left" vertical="center" shrinkToFit="1"/>
    </xf>
    <xf numFmtId="176" fontId="11" fillId="0" borderId="9" xfId="5" applyNumberFormat="1" applyFont="1" applyBorder="1" applyAlignment="1">
      <alignment horizontal="left" vertical="center" shrinkToFit="1"/>
    </xf>
    <xf numFmtId="176" fontId="8" fillId="0" borderId="9" xfId="5" applyNumberFormat="1" applyFont="1" applyBorder="1" applyAlignment="1">
      <alignment horizontal="center" vertical="center" shrinkToFit="1"/>
    </xf>
    <xf numFmtId="176" fontId="8" fillId="0" borderId="0" xfId="1" applyNumberFormat="1" applyFont="1"/>
    <xf numFmtId="0" fontId="8" fillId="0" borderId="10" xfId="1" applyFont="1" applyBorder="1" applyAlignment="1">
      <alignment horizontal="center" vertical="center" shrinkToFit="1"/>
    </xf>
    <xf numFmtId="0" fontId="8" fillId="3" borderId="10" xfId="1" applyFont="1" applyFill="1" applyBorder="1" applyAlignment="1">
      <alignment horizontal="center" vertical="center" shrinkToFit="1"/>
    </xf>
    <xf numFmtId="0" fontId="8" fillId="0" borderId="10" xfId="1" applyFont="1" applyBorder="1" applyAlignment="1">
      <alignment horizontal="left" vertical="center" shrinkToFit="1"/>
    </xf>
    <xf numFmtId="176" fontId="8" fillId="0" borderId="10" xfId="5" applyNumberFormat="1" applyFont="1" applyBorder="1" applyAlignment="1">
      <alignment horizontal="left" vertical="center" shrinkToFit="1"/>
    </xf>
    <xf numFmtId="176" fontId="11" fillId="0" borderId="10" xfId="5" applyNumberFormat="1" applyFont="1" applyBorder="1" applyAlignment="1">
      <alignment horizontal="left" vertical="center" shrinkToFit="1"/>
    </xf>
    <xf numFmtId="0" fontId="8" fillId="0" borderId="0" xfId="2" applyFont="1" applyAlignment="1" applyProtection="1">
      <alignment vertical="center"/>
    </xf>
    <xf numFmtId="0" fontId="8" fillId="3" borderId="0" xfId="2" applyFont="1" applyFill="1" applyAlignment="1" applyProtection="1">
      <alignment vertical="center"/>
    </xf>
    <xf numFmtId="0" fontId="8" fillId="3" borderId="10" xfId="2" applyFont="1" applyFill="1" applyBorder="1" applyAlignment="1" applyProtection="1">
      <alignment horizontal="center" vertical="center" shrinkToFit="1"/>
    </xf>
    <xf numFmtId="0" fontId="8" fillId="3" borderId="0" xfId="2" applyFont="1" applyFill="1" applyBorder="1" applyAlignment="1" applyProtection="1">
      <alignment horizontal="center" vertical="center" shrinkToFit="1"/>
    </xf>
    <xf numFmtId="0" fontId="9" fillId="3" borderId="0" xfId="2" applyFont="1" applyFill="1" applyAlignment="1" applyProtection="1">
      <alignment vertical="center"/>
    </xf>
    <xf numFmtId="0" fontId="8" fillId="4" borderId="10" xfId="2" applyFont="1" applyFill="1" applyBorder="1" applyAlignment="1" applyProtection="1">
      <alignment horizontal="center" vertical="center" shrinkToFit="1"/>
    </xf>
    <xf numFmtId="0" fontId="8" fillId="4" borderId="0" xfId="2" applyFont="1" applyFill="1" applyBorder="1" applyAlignment="1" applyProtection="1">
      <alignment horizontal="center" vertical="center" shrinkToFit="1"/>
    </xf>
    <xf numFmtId="0" fontId="8" fillId="4" borderId="9" xfId="2" applyFont="1" applyFill="1" applyBorder="1" applyAlignment="1" applyProtection="1">
      <alignment horizontal="center" vertical="center" shrinkToFit="1"/>
    </xf>
    <xf numFmtId="14" fontId="8" fillId="4" borderId="10" xfId="2" applyNumberFormat="1" applyFont="1" applyFill="1" applyBorder="1" applyAlignment="1" applyProtection="1">
      <alignment horizontal="center" vertical="center" shrinkToFit="1"/>
    </xf>
    <xf numFmtId="0" fontId="8" fillId="0" borderId="10" xfId="2" applyFont="1" applyBorder="1" applyAlignment="1" applyProtection="1">
      <alignment horizontal="center" vertical="center" shrinkToFit="1"/>
      <protection locked="0"/>
    </xf>
    <xf numFmtId="0" fontId="8" fillId="0" borderId="0" xfId="2" applyFont="1" applyBorder="1" applyAlignment="1" applyProtection="1">
      <alignment horizontal="center" vertical="center" shrinkToFit="1"/>
    </xf>
    <xf numFmtId="0" fontId="8" fillId="10" borderId="10" xfId="2" applyFont="1" applyFill="1" applyBorder="1" applyAlignment="1" applyProtection="1">
      <alignment horizontal="center" vertical="center" shrinkToFit="1"/>
    </xf>
    <xf numFmtId="14" fontId="8" fillId="0" borderId="10" xfId="2" applyNumberFormat="1" applyFont="1" applyBorder="1" applyAlignment="1" applyProtection="1">
      <alignment horizontal="center" vertical="center" shrinkToFit="1"/>
      <protection locked="0"/>
    </xf>
    <xf numFmtId="0" fontId="8" fillId="0" borderId="10" xfId="1" applyFont="1" applyBorder="1" applyAlignment="1" applyProtection="1">
      <alignment horizontal="center" vertical="center" shrinkToFit="1"/>
      <protection locked="0"/>
    </xf>
    <xf numFmtId="0" fontId="8" fillId="10" borderId="10" xfId="1" applyFont="1" applyFill="1" applyBorder="1" applyAlignment="1" applyProtection="1">
      <alignment horizontal="center" vertical="center" shrinkToFit="1"/>
    </xf>
    <xf numFmtId="0" fontId="8" fillId="10" borderId="0" xfId="2" applyFont="1" applyFill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10" borderId="10" xfId="0" applyFont="1" applyFill="1" applyBorder="1" applyAlignment="1" applyProtection="1">
      <alignment horizontal="center" vertical="center" shrinkToFit="1"/>
    </xf>
    <xf numFmtId="0" fontId="10" fillId="3" borderId="10" xfId="2" applyFont="1" applyFill="1" applyBorder="1" applyAlignment="1" applyProtection="1">
      <alignment horizontal="center" vertical="center" shrinkToFit="1"/>
    </xf>
    <xf numFmtId="0" fontId="10" fillId="3" borderId="0" xfId="2" applyFont="1" applyFill="1" applyBorder="1" applyAlignment="1" applyProtection="1">
      <alignment horizontal="center" vertical="center" shrinkToFit="1"/>
    </xf>
    <xf numFmtId="0" fontId="8" fillId="0" borderId="0" xfId="3" applyFont="1" applyProtection="1">
      <alignment vertical="center"/>
    </xf>
    <xf numFmtId="0" fontId="8" fillId="5" borderId="0" xfId="7" applyNumberFormat="1" applyFont="1" applyFill="1" applyProtection="1">
      <alignment vertical="center"/>
    </xf>
    <xf numFmtId="0" fontId="8" fillId="0" borderId="0" xfId="7" applyNumberFormat="1" applyFont="1" applyProtection="1">
      <alignment vertical="center"/>
    </xf>
    <xf numFmtId="0" fontId="23" fillId="3" borderId="0" xfId="7" applyNumberFormat="1" applyFont="1" applyFill="1" applyAlignment="1" applyProtection="1">
      <alignment horizontal="center" vertical="center"/>
      <protection locked="0"/>
    </xf>
    <xf numFmtId="0" fontId="22" fillId="4" borderId="0" xfId="7" applyNumberFormat="1" applyFont="1" applyFill="1" applyAlignment="1" applyProtection="1">
      <alignment horizontal="left" vertical="center"/>
    </xf>
    <xf numFmtId="0" fontId="24" fillId="5" borderId="0" xfId="7" applyNumberFormat="1" applyFont="1" applyFill="1" applyProtection="1">
      <alignment vertical="center"/>
    </xf>
    <xf numFmtId="0" fontId="22" fillId="4" borderId="0" xfId="7" applyNumberFormat="1" applyFont="1" applyFill="1" applyAlignment="1" applyProtection="1">
      <alignment horizontal="right" vertical="center"/>
    </xf>
    <xf numFmtId="0" fontId="26" fillId="5" borderId="23" xfId="7" applyNumberFormat="1" applyFont="1" applyFill="1" applyBorder="1" applyAlignment="1" applyProtection="1">
      <alignment horizontal="center" vertical="center"/>
    </xf>
    <xf numFmtId="0" fontId="28" fillId="5" borderId="0" xfId="7" applyNumberFormat="1" applyFont="1" applyFill="1" applyProtection="1">
      <alignment vertical="center"/>
    </xf>
    <xf numFmtId="0" fontId="10" fillId="10" borderId="10" xfId="7" applyNumberFormat="1" applyFont="1" applyFill="1" applyBorder="1" applyAlignment="1" applyProtection="1">
      <alignment horizontal="center" vertical="center"/>
    </xf>
    <xf numFmtId="0" fontId="25" fillId="12" borderId="82" xfId="7" applyNumberFormat="1" applyFont="1" applyFill="1" applyBorder="1" applyAlignment="1" applyProtection="1">
      <alignment horizontal="center" vertical="center"/>
      <protection locked="0"/>
    </xf>
    <xf numFmtId="0" fontId="26" fillId="5" borderId="2" xfId="7" applyNumberFormat="1" applyFont="1" applyFill="1" applyBorder="1" applyAlignment="1" applyProtection="1">
      <alignment vertical="center"/>
    </xf>
    <xf numFmtId="0" fontId="25" fillId="13" borderId="9" xfId="7" applyNumberFormat="1" applyFont="1" applyFill="1" applyBorder="1" applyAlignment="1" applyProtection="1">
      <alignment horizontal="center" vertical="center"/>
    </xf>
    <xf numFmtId="0" fontId="8" fillId="0" borderId="0" xfId="7" applyNumberFormat="1" applyFont="1" applyBorder="1" applyProtection="1">
      <alignment vertical="center"/>
    </xf>
    <xf numFmtId="0" fontId="26" fillId="5" borderId="85" xfId="7" applyNumberFormat="1" applyFont="1" applyFill="1" applyBorder="1" applyAlignment="1" applyProtection="1">
      <alignment vertical="center"/>
    </xf>
    <xf numFmtId="0" fontId="25" fillId="13" borderId="10" xfId="7" applyNumberFormat="1" applyFont="1" applyFill="1" applyBorder="1" applyAlignment="1" applyProtection="1">
      <alignment horizontal="center" vertical="center"/>
    </xf>
    <xf numFmtId="0" fontId="25" fillId="13" borderId="18" xfId="7" applyNumberFormat="1" applyFont="1" applyFill="1" applyBorder="1" applyAlignment="1" applyProtection="1">
      <alignment horizontal="center" vertical="center"/>
    </xf>
    <xf numFmtId="0" fontId="15" fillId="5" borderId="86" xfId="7" applyNumberFormat="1" applyFont="1" applyFill="1" applyBorder="1" applyProtection="1">
      <alignment vertical="center"/>
    </xf>
    <xf numFmtId="0" fontId="15" fillId="5" borderId="87" xfId="7" applyNumberFormat="1" applyFont="1" applyFill="1" applyBorder="1" applyAlignment="1" applyProtection="1">
      <alignment horizontal="right" vertical="center"/>
    </xf>
    <xf numFmtId="0" fontId="15" fillId="5" borderId="88" xfId="7" applyNumberFormat="1" applyFont="1" applyFill="1" applyBorder="1" applyProtection="1">
      <alignment vertical="center"/>
    </xf>
    <xf numFmtId="0" fontId="15" fillId="5" borderId="91" xfId="7" applyNumberFormat="1" applyFont="1" applyFill="1" applyBorder="1" applyProtection="1">
      <alignment vertical="center"/>
    </xf>
    <xf numFmtId="0" fontId="15" fillId="5" borderId="92" xfId="7" applyNumberFormat="1" applyFont="1" applyFill="1" applyBorder="1" applyAlignment="1" applyProtection="1">
      <alignment horizontal="right" vertical="center"/>
    </xf>
    <xf numFmtId="0" fontId="15" fillId="5" borderId="93" xfId="7" applyNumberFormat="1" applyFont="1" applyFill="1" applyBorder="1" applyProtection="1">
      <alignment vertical="center"/>
    </xf>
    <xf numFmtId="0" fontId="30" fillId="5" borderId="0" xfId="7" applyNumberFormat="1" applyFont="1" applyFill="1" applyProtection="1">
      <alignment vertical="center"/>
    </xf>
    <xf numFmtId="0" fontId="15" fillId="5" borderId="95" xfId="7" applyNumberFormat="1" applyFont="1" applyFill="1" applyBorder="1" applyProtection="1">
      <alignment vertical="center"/>
    </xf>
    <xf numFmtId="0" fontId="15" fillId="5" borderId="96" xfId="7" applyNumberFormat="1" applyFont="1" applyFill="1" applyBorder="1" applyAlignment="1" applyProtection="1">
      <alignment horizontal="right" vertical="center"/>
    </xf>
    <xf numFmtId="0" fontId="15" fillId="5" borderId="97" xfId="7" applyNumberFormat="1" applyFont="1" applyFill="1" applyBorder="1" applyProtection="1">
      <alignment vertical="center"/>
    </xf>
    <xf numFmtId="0" fontId="8" fillId="0" borderId="0" xfId="2" applyFont="1" applyFill="1" applyAlignment="1" applyProtection="1">
      <alignment vertical="center"/>
    </xf>
    <xf numFmtId="0" fontId="13" fillId="3" borderId="0" xfId="2" applyFont="1" applyFill="1" applyAlignment="1" applyProtection="1">
      <alignment vertical="center"/>
    </xf>
    <xf numFmtId="0" fontId="8" fillId="3" borderId="10" xfId="2" applyFont="1" applyFill="1" applyBorder="1" applyAlignment="1" applyProtection="1">
      <alignment horizontal="left" vertical="center" shrinkToFit="1"/>
    </xf>
    <xf numFmtId="176" fontId="8" fillId="3" borderId="20" xfId="2" applyNumberFormat="1" applyFont="1" applyFill="1" applyBorder="1" applyAlignment="1" applyProtection="1">
      <alignment horizontal="center" vertical="center" shrinkToFit="1"/>
    </xf>
    <xf numFmtId="176" fontId="8" fillId="4" borderId="89" xfId="2" applyNumberFormat="1" applyFont="1" applyFill="1" applyBorder="1" applyAlignment="1" applyProtection="1">
      <alignment horizontal="center" vertical="center" shrinkToFit="1"/>
    </xf>
    <xf numFmtId="176" fontId="8" fillId="3" borderId="9" xfId="2" applyNumberFormat="1" applyFont="1" applyFill="1" applyBorder="1" applyAlignment="1" applyProtection="1">
      <alignment horizontal="center" vertical="center" shrinkToFit="1"/>
    </xf>
    <xf numFmtId="0" fontId="8" fillId="3" borderId="9" xfId="2" applyFont="1" applyFill="1" applyBorder="1" applyAlignment="1" applyProtection="1">
      <alignment horizontal="center" vertical="center" shrinkToFit="1"/>
    </xf>
    <xf numFmtId="14" fontId="8" fillId="0" borderId="0" xfId="2" applyNumberFormat="1" applyFont="1" applyFill="1" applyAlignment="1" applyProtection="1">
      <alignment vertical="center"/>
    </xf>
    <xf numFmtId="176" fontId="8" fillId="9" borderId="10" xfId="7" applyNumberFormat="1" applyFont="1" applyFill="1" applyBorder="1" applyAlignment="1" applyProtection="1">
      <alignment horizontal="center" vertical="center"/>
    </xf>
    <xf numFmtId="176" fontId="8" fillId="9" borderId="10" xfId="7" applyNumberFormat="1" applyFont="1" applyFill="1" applyBorder="1" applyAlignment="1" applyProtection="1">
      <alignment horizontal="center" vertical="center" shrinkToFit="1"/>
    </xf>
    <xf numFmtId="176" fontId="8" fillId="0" borderId="0" xfId="1" applyNumberFormat="1" applyFont="1" applyAlignment="1">
      <alignment horizontal="center"/>
    </xf>
    <xf numFmtId="0" fontId="8" fillId="9" borderId="10" xfId="1" applyFont="1" applyFill="1" applyBorder="1" applyAlignment="1">
      <alignment horizontal="center" vertical="center" shrinkToFit="1"/>
    </xf>
    <xf numFmtId="176" fontId="8" fillId="9" borderId="9" xfId="5" applyNumberFormat="1" applyFont="1" applyFill="1" applyBorder="1" applyAlignment="1">
      <alignment horizontal="center" vertical="center" shrinkToFit="1"/>
    </xf>
    <xf numFmtId="176" fontId="8" fillId="10" borderId="9" xfId="5" applyNumberFormat="1" applyFont="1" applyFill="1" applyBorder="1" applyAlignment="1">
      <alignment horizontal="center" vertical="center" shrinkToFit="1"/>
    </xf>
    <xf numFmtId="0" fontId="8" fillId="10" borderId="10" xfId="1" applyFont="1" applyFill="1" applyBorder="1" applyAlignment="1">
      <alignment horizontal="center" vertical="center" shrinkToFit="1"/>
    </xf>
    <xf numFmtId="176" fontId="8" fillId="10" borderId="10" xfId="5" applyNumberFormat="1" applyFont="1" applyFill="1" applyBorder="1" applyAlignment="1">
      <alignment horizontal="center" vertical="center" shrinkToFit="1"/>
    </xf>
    <xf numFmtId="176" fontId="8" fillId="10" borderId="10" xfId="6" applyNumberFormat="1" applyFont="1" applyFill="1" applyBorder="1" applyAlignment="1">
      <alignment horizontal="center" vertical="center" shrinkToFit="1"/>
    </xf>
    <xf numFmtId="0" fontId="10" fillId="14" borderId="70" xfId="1" applyFont="1" applyFill="1" applyBorder="1" applyAlignment="1">
      <alignment vertical="center"/>
    </xf>
    <xf numFmtId="176" fontId="10" fillId="14" borderId="78" xfId="5" applyNumberFormat="1" applyFont="1" applyFill="1" applyBorder="1" applyAlignment="1">
      <alignment horizontal="center" vertical="center" shrinkToFit="1"/>
    </xf>
    <xf numFmtId="176" fontId="33" fillId="14" borderId="78" xfId="5" applyNumberFormat="1" applyFont="1" applyFill="1" applyBorder="1" applyAlignment="1">
      <alignment horizontal="left" vertical="center" shrinkToFit="1"/>
    </xf>
    <xf numFmtId="176" fontId="33" fillId="14" borderId="82" xfId="5" applyNumberFormat="1" applyFont="1" applyFill="1" applyBorder="1" applyAlignment="1">
      <alignment horizontal="center" vertical="center" shrinkToFit="1"/>
    </xf>
    <xf numFmtId="49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0" fillId="14" borderId="68" xfId="1" applyFont="1" applyFill="1" applyBorder="1" applyAlignment="1">
      <alignment horizontal="center" vertical="center"/>
    </xf>
    <xf numFmtId="0" fontId="10" fillId="14" borderId="99" xfId="1" applyFont="1" applyFill="1" applyBorder="1" applyAlignment="1">
      <alignment horizontal="center" vertical="center"/>
    </xf>
    <xf numFmtId="0" fontId="10" fillId="11" borderId="100" xfId="7" applyNumberFormat="1" applyFont="1" applyFill="1" applyBorder="1" applyAlignment="1" applyProtection="1">
      <alignment horizontal="center" vertical="center"/>
    </xf>
    <xf numFmtId="176" fontId="33" fillId="14" borderId="78" xfId="5" applyNumberFormat="1" applyFont="1" applyFill="1" applyBorder="1" applyAlignment="1">
      <alignment horizontal="center" vertical="center" shrinkToFit="1"/>
    </xf>
    <xf numFmtId="0" fontId="8" fillId="0" borderId="10" xfId="7" applyNumberFormat="1" applyFont="1" applyBorder="1" applyAlignment="1" applyProtection="1">
      <alignment horizontal="center" vertical="center"/>
    </xf>
    <xf numFmtId="0" fontId="25" fillId="12" borderId="10" xfId="7" applyNumberFormat="1" applyFont="1" applyFill="1" applyBorder="1" applyAlignment="1" applyProtection="1">
      <alignment horizontal="center" vertical="center" shrinkToFit="1"/>
      <protection locked="0"/>
    </xf>
    <xf numFmtId="0" fontId="25" fillId="9" borderId="23" xfId="7" applyNumberFormat="1" applyFont="1" applyFill="1" applyBorder="1" applyAlignment="1" applyProtection="1">
      <alignment horizontal="center" vertical="center" shrinkToFit="1"/>
      <protection locked="0"/>
    </xf>
    <xf numFmtId="0" fontId="25" fillId="12" borderId="20" xfId="7" applyNumberFormat="1" applyFont="1" applyFill="1" applyBorder="1" applyAlignment="1" applyProtection="1">
      <alignment horizontal="center" vertical="center" shrinkToFit="1"/>
      <protection locked="0"/>
    </xf>
    <xf numFmtId="0" fontId="23" fillId="16" borderId="0" xfId="7" applyNumberFormat="1" applyFont="1" applyFill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vertical="center" shrinkToFit="1"/>
    </xf>
    <xf numFmtId="0" fontId="25" fillId="16" borderId="10" xfId="7" applyNumberFormat="1" applyFont="1" applyFill="1" applyBorder="1" applyAlignment="1" applyProtection="1">
      <alignment horizontal="center" vertical="center" shrinkToFit="1"/>
    </xf>
    <xf numFmtId="0" fontId="10" fillId="10" borderId="2" xfId="4" applyNumberFormat="1" applyFont="1" applyFill="1" applyBorder="1" applyAlignment="1" applyProtection="1">
      <alignment horizontal="center" vertical="center"/>
      <protection locked="0"/>
    </xf>
    <xf numFmtId="0" fontId="19" fillId="9" borderId="17" xfId="4" applyNumberFormat="1" applyFont="1" applyFill="1" applyBorder="1" applyAlignment="1" applyProtection="1">
      <alignment horizontal="center" vertical="center"/>
      <protection locked="0"/>
    </xf>
    <xf numFmtId="0" fontId="19" fillId="9" borderId="4" xfId="4" applyNumberFormat="1" applyFont="1" applyFill="1" applyBorder="1" applyAlignment="1" applyProtection="1">
      <alignment horizontal="center" vertical="center"/>
      <protection locked="0"/>
    </xf>
    <xf numFmtId="0" fontId="19" fillId="10" borderId="2" xfId="4" applyNumberFormat="1" applyFont="1" applyFill="1" applyBorder="1" applyAlignment="1" applyProtection="1">
      <alignment horizontal="center" vertical="center"/>
      <protection locked="0"/>
    </xf>
    <xf numFmtId="0" fontId="10" fillId="10" borderId="2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Protection="1"/>
    <xf numFmtId="0" fontId="8" fillId="0" borderId="0" xfId="0" quotePrefix="1" applyFont="1" applyProtection="1"/>
    <xf numFmtId="0" fontId="8" fillId="0" borderId="10" xfId="0" applyFont="1" applyBorder="1" applyAlignment="1" applyProtection="1">
      <alignment horizontal="center" shrinkToFit="1"/>
    </xf>
    <xf numFmtId="0" fontId="8" fillId="0" borderId="10" xfId="0" applyFont="1" applyBorder="1" applyProtection="1"/>
    <xf numFmtId="0" fontId="8" fillId="0" borderId="10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 vertical="center"/>
    </xf>
    <xf numFmtId="3" fontId="17" fillId="10" borderId="10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center" vertical="center"/>
    </xf>
    <xf numFmtId="0" fontId="8" fillId="0" borderId="0" xfId="0" applyFont="1" applyBorder="1" applyProtection="1"/>
    <xf numFmtId="0" fontId="8" fillId="0" borderId="69" xfId="0" applyFont="1" applyBorder="1" applyAlignment="1" applyProtection="1">
      <alignment vertical="center"/>
    </xf>
    <xf numFmtId="0" fontId="35" fillId="0" borderId="44" xfId="0" applyFont="1" applyBorder="1" applyAlignment="1" applyProtection="1">
      <alignment vertical="center" wrapText="1"/>
    </xf>
    <xf numFmtId="0" fontId="35" fillId="0" borderId="44" xfId="0" applyFont="1" applyBorder="1" applyAlignment="1" applyProtection="1">
      <alignment vertical="center"/>
    </xf>
    <xf numFmtId="0" fontId="35" fillId="0" borderId="45" xfId="0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8" fillId="10" borderId="20" xfId="0" applyFont="1" applyFill="1" applyBorder="1" applyAlignment="1" applyProtection="1">
      <alignment vertical="center"/>
    </xf>
    <xf numFmtId="0" fontId="8" fillId="10" borderId="98" xfId="0" applyFont="1" applyFill="1" applyBorder="1" applyAlignment="1" applyProtection="1">
      <alignment vertical="center"/>
    </xf>
    <xf numFmtId="0" fontId="8" fillId="10" borderId="98" xfId="0" applyFont="1" applyFill="1" applyBorder="1" applyProtection="1"/>
    <xf numFmtId="0" fontId="8" fillId="10" borderId="89" xfId="0" applyFont="1" applyFill="1" applyBorder="1" applyProtection="1"/>
    <xf numFmtId="0" fontId="35" fillId="0" borderId="0" xfId="0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/>
    </xf>
    <xf numFmtId="0" fontId="35" fillId="0" borderId="59" xfId="0" applyFont="1" applyBorder="1" applyAlignment="1" applyProtection="1">
      <alignment vertical="center" wrapText="1"/>
    </xf>
    <xf numFmtId="0" fontId="35" fillId="0" borderId="47" xfId="0" applyFont="1" applyBorder="1" applyAlignment="1" applyProtection="1">
      <alignment vertical="center" wrapText="1"/>
    </xf>
    <xf numFmtId="0" fontId="35" fillId="0" borderId="47" xfId="0" applyFont="1" applyBorder="1" applyAlignment="1" applyProtection="1">
      <alignment vertical="center"/>
    </xf>
    <xf numFmtId="0" fontId="35" fillId="0" borderId="48" xfId="0" applyFont="1" applyBorder="1" applyAlignment="1" applyProtection="1">
      <alignment vertical="center" wrapText="1"/>
    </xf>
    <xf numFmtId="0" fontId="35" fillId="0" borderId="0" xfId="0" applyFont="1" applyAlignment="1" applyProtection="1">
      <alignment vertical="center" wrapText="1"/>
    </xf>
    <xf numFmtId="0" fontId="10" fillId="11" borderId="10" xfId="7" applyNumberFormat="1" applyFont="1" applyFill="1" applyBorder="1" applyAlignment="1" applyProtection="1">
      <alignment horizontal="center" vertical="center"/>
    </xf>
    <xf numFmtId="0" fontId="8" fillId="0" borderId="9" xfId="1" applyFont="1" applyBorder="1" applyAlignment="1">
      <alignment horizontal="left" vertical="center" shrinkToFit="1"/>
    </xf>
    <xf numFmtId="0" fontId="8" fillId="0" borderId="9" xfId="1" quotePrefix="1" applyFont="1" applyBorder="1" applyAlignment="1">
      <alignment horizontal="left" vertical="center" shrinkToFit="1"/>
    </xf>
    <xf numFmtId="0" fontId="8" fillId="5" borderId="0" xfId="7" applyFont="1" applyFill="1">
      <alignment vertical="center"/>
    </xf>
    <xf numFmtId="0" fontId="8" fillId="0" borderId="0" xfId="7" applyFont="1">
      <alignment vertical="center"/>
    </xf>
    <xf numFmtId="0" fontId="38" fillId="5" borderId="0" xfId="7" applyFont="1" applyFill="1">
      <alignment vertical="center"/>
    </xf>
    <xf numFmtId="0" fontId="41" fillId="3" borderId="0" xfId="7" applyFont="1" applyFill="1">
      <alignment vertical="center"/>
    </xf>
    <xf numFmtId="0" fontId="8" fillId="3" borderId="0" xfId="7" applyFont="1" applyFill="1">
      <alignment vertical="center"/>
    </xf>
    <xf numFmtId="0" fontId="0" fillId="0" borderId="0" xfId="0" applyNumberFormat="1" applyProtection="1"/>
    <xf numFmtId="0" fontId="8" fillId="0" borderId="0" xfId="4" applyNumberFormat="1" applyFont="1" applyAlignment="1" applyProtection="1">
      <alignment vertical="center"/>
    </xf>
    <xf numFmtId="0" fontId="16" fillId="0" borderId="0" xfId="4" applyNumberFormat="1" applyFont="1" applyAlignment="1" applyProtection="1">
      <alignment vertical="center" justifyLastLine="1"/>
    </xf>
    <xf numFmtId="0" fontId="12" fillId="0" borderId="0" xfId="4" applyNumberFormat="1" applyFont="1" applyAlignment="1" applyProtection="1">
      <alignment vertical="center" justifyLastLine="1"/>
    </xf>
    <xf numFmtId="0" fontId="10" fillId="0" borderId="0" xfId="4" applyNumberFormat="1" applyFont="1" applyAlignment="1" applyProtection="1">
      <alignment vertical="center"/>
    </xf>
    <xf numFmtId="0" fontId="16" fillId="0" borderId="2" xfId="4" applyNumberFormat="1" applyFont="1" applyBorder="1" applyAlignment="1" applyProtection="1">
      <alignment horizontal="center" vertical="center"/>
    </xf>
    <xf numFmtId="0" fontId="14" fillId="0" borderId="10" xfId="4" applyNumberFormat="1" applyFont="1" applyBorder="1" applyAlignment="1" applyProtection="1">
      <alignment horizontal="center" vertical="center" justifyLastLine="1"/>
    </xf>
    <xf numFmtId="0" fontId="8" fillId="0" borderId="0" xfId="4" applyNumberFormat="1" applyFont="1" applyAlignment="1" applyProtection="1">
      <alignment horizontal="left" vertical="center" justifyLastLine="1"/>
    </xf>
    <xf numFmtId="0" fontId="34" fillId="0" borderId="10" xfId="4" applyNumberFormat="1" applyFont="1" applyBorder="1" applyAlignment="1" applyProtection="1">
      <alignment horizontal="center" vertical="center" justifyLastLine="1"/>
    </xf>
    <xf numFmtId="0" fontId="34" fillId="0" borderId="0" xfId="4" applyNumberFormat="1" applyFont="1" applyAlignment="1" applyProtection="1">
      <alignment horizontal="center" vertical="center" justifyLastLine="1"/>
    </xf>
    <xf numFmtId="0" fontId="16" fillId="0" borderId="2" xfId="4" applyNumberFormat="1" applyFont="1" applyBorder="1" applyAlignment="1" applyProtection="1">
      <alignment horizontal="center" vertical="center" justifyLastLine="1"/>
    </xf>
    <xf numFmtId="0" fontId="8" fillId="0" borderId="2" xfId="4" applyNumberFormat="1" applyFont="1" applyBorder="1" applyAlignment="1" applyProtection="1">
      <alignment horizontal="center" vertical="center" shrinkToFit="1"/>
    </xf>
    <xf numFmtId="0" fontId="16" fillId="0" borderId="2" xfId="4" applyNumberFormat="1" applyFont="1" applyBorder="1" applyAlignment="1" applyProtection="1">
      <alignment horizontal="center" vertical="center" shrinkToFit="1"/>
    </xf>
    <xf numFmtId="0" fontId="10" fillId="15" borderId="4" xfId="4" applyNumberFormat="1" applyFont="1" applyFill="1" applyBorder="1" applyAlignment="1" applyProtection="1">
      <alignment horizontal="center" vertical="center" shrinkToFit="1"/>
    </xf>
    <xf numFmtId="0" fontId="10" fillId="15" borderId="2" xfId="4" applyNumberFormat="1" applyFont="1" applyFill="1" applyBorder="1" applyAlignment="1" applyProtection="1">
      <alignment horizontal="center" vertical="center" justifyLastLine="1"/>
    </xf>
    <xf numFmtId="0" fontId="14" fillId="10" borderId="10" xfId="4" applyNumberFormat="1" applyFont="1" applyFill="1" applyBorder="1" applyAlignment="1" applyProtection="1">
      <alignment horizontal="center" vertical="center" justifyLastLine="1"/>
    </xf>
    <xf numFmtId="0" fontId="10" fillId="15" borderId="2" xfId="4" applyNumberFormat="1" applyFont="1" applyFill="1" applyBorder="1" applyAlignment="1" applyProtection="1">
      <alignment horizontal="center" vertical="center" shrinkToFit="1"/>
    </xf>
    <xf numFmtId="0" fontId="10" fillId="15" borderId="2" xfId="4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Protection="1"/>
    <xf numFmtId="0" fontId="10" fillId="0" borderId="22" xfId="4" applyNumberFormat="1" applyFont="1" applyBorder="1" applyAlignment="1" applyProtection="1">
      <alignment horizontal="center" vertical="center"/>
    </xf>
    <xf numFmtId="0" fontId="8" fillId="0" borderId="12" xfId="4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0" fontId="8" fillId="0" borderId="2" xfId="4" applyNumberFormat="1" applyFont="1" applyBorder="1" applyAlignment="1" applyProtection="1">
      <alignment horizontal="center" vertical="center"/>
    </xf>
    <xf numFmtId="0" fontId="8" fillId="0" borderId="0" xfId="4" applyNumberFormat="1" applyFont="1" applyAlignment="1" applyProtection="1">
      <alignment vertical="center" shrinkToFit="1"/>
    </xf>
    <xf numFmtId="0" fontId="12" fillId="0" borderId="0" xfId="4" applyNumberFormat="1" applyFont="1" applyAlignment="1" applyProtection="1">
      <alignment vertical="center" shrinkToFit="1"/>
    </xf>
    <xf numFmtId="0" fontId="8" fillId="0" borderId="12" xfId="4" applyNumberFormat="1" applyFont="1" applyFill="1" applyBorder="1" applyAlignment="1" applyProtection="1">
      <alignment horizontal="center" vertical="center"/>
    </xf>
    <xf numFmtId="0" fontId="19" fillId="0" borderId="4" xfId="4" applyNumberFormat="1" applyFont="1" applyFill="1" applyBorder="1" applyAlignment="1" applyProtection="1">
      <alignment horizontal="center" vertical="center"/>
    </xf>
    <xf numFmtId="0" fontId="5" fillId="10" borderId="2" xfId="0" applyNumberFormat="1" applyFont="1" applyFill="1" applyBorder="1" applyAlignment="1" applyProtection="1">
      <alignment horizontal="center" vertical="center" shrinkToFit="1"/>
      <protection locked="0"/>
    </xf>
    <xf numFmtId="0" fontId="21" fillId="10" borderId="2" xfId="4" applyNumberFormat="1" applyFont="1" applyFill="1" applyBorder="1" applyAlignment="1" applyProtection="1">
      <alignment horizontal="center" vertical="center"/>
    </xf>
    <xf numFmtId="0" fontId="44" fillId="0" borderId="0" xfId="0" applyNumberFormat="1" applyFont="1" applyAlignment="1" applyProtection="1">
      <alignment horizontal="center" vertical="center"/>
    </xf>
    <xf numFmtId="0" fontId="44" fillId="0" borderId="0" xfId="0" applyNumberFormat="1" applyFont="1" applyProtection="1"/>
    <xf numFmtId="0" fontId="46" fillId="9" borderId="23" xfId="0" applyNumberFormat="1" applyFont="1" applyFill="1" applyBorder="1" applyAlignment="1" applyProtection="1">
      <alignment horizontal="center" vertical="center"/>
    </xf>
    <xf numFmtId="0" fontId="44" fillId="0" borderId="0" xfId="0" applyNumberFormat="1" applyFont="1" applyFill="1" applyAlignment="1" applyProtection="1">
      <alignment vertical="center"/>
    </xf>
    <xf numFmtId="0" fontId="43" fillId="0" borderId="1" xfId="0" applyNumberFormat="1" applyFont="1" applyBorder="1" applyAlignment="1" applyProtection="1">
      <alignment vertical="center" shrinkToFit="1"/>
    </xf>
    <xf numFmtId="0" fontId="44" fillId="0" borderId="2" xfId="0" applyNumberFormat="1" applyFont="1" applyFill="1" applyBorder="1" applyAlignment="1" applyProtection="1">
      <alignment horizontal="distributed" vertical="center" justifyLastLine="1"/>
    </xf>
    <xf numFmtId="0" fontId="43" fillId="0" borderId="7" xfId="0" applyNumberFormat="1" applyFont="1" applyBorder="1" applyAlignment="1" applyProtection="1">
      <alignment horizontal="center" vertical="center" shrinkToFit="1"/>
    </xf>
    <xf numFmtId="0" fontId="44" fillId="0" borderId="2" xfId="0" applyNumberFormat="1" applyFont="1" applyBorder="1" applyAlignment="1" applyProtection="1">
      <alignment horizontal="center" vertical="center"/>
    </xf>
    <xf numFmtId="0" fontId="44" fillId="0" borderId="3" xfId="0" applyNumberFormat="1" applyFont="1" applyFill="1" applyBorder="1" applyAlignment="1" applyProtection="1">
      <alignment horizontal="center" vertical="center" shrinkToFit="1"/>
    </xf>
    <xf numFmtId="0" fontId="44" fillId="0" borderId="4" xfId="0" applyNumberFormat="1" applyFont="1" applyBorder="1" applyAlignment="1" applyProtection="1">
      <alignment horizontal="distributed" vertical="center" justifyLastLine="1"/>
    </xf>
    <xf numFmtId="0" fontId="44" fillId="0" borderId="5" xfId="0" applyNumberFormat="1" applyFont="1" applyFill="1" applyBorder="1" applyAlignment="1" applyProtection="1">
      <alignment vertical="center"/>
    </xf>
    <xf numFmtId="0" fontId="44" fillId="0" borderId="0" xfId="0" applyNumberFormat="1" applyFont="1" applyFill="1" applyBorder="1" applyAlignment="1" applyProtection="1">
      <alignment vertical="center"/>
    </xf>
    <xf numFmtId="0" fontId="44" fillId="0" borderId="6" xfId="0" applyNumberFormat="1" applyFont="1" applyFill="1" applyBorder="1" applyAlignment="1" applyProtection="1">
      <alignment vertical="center"/>
    </xf>
    <xf numFmtId="0" fontId="44" fillId="0" borderId="0" xfId="0" applyNumberFormat="1" applyFont="1" applyFill="1" applyProtection="1"/>
    <xf numFmtId="0" fontId="44" fillId="0" borderId="0" xfId="0" applyNumberFormat="1" applyFont="1" applyFill="1" applyAlignment="1" applyProtection="1">
      <alignment horizontal="right" vertical="center"/>
    </xf>
    <xf numFmtId="0" fontId="44" fillId="0" borderId="0" xfId="0" applyNumberFormat="1" applyFont="1" applyAlignment="1" applyProtection="1">
      <alignment horizontal="right"/>
    </xf>
    <xf numFmtId="0" fontId="44" fillId="0" borderId="0" xfId="0" applyNumberFormat="1" applyFont="1" applyAlignment="1" applyProtection="1">
      <alignment horizontal="center"/>
    </xf>
    <xf numFmtId="0" fontId="44" fillId="0" borderId="0" xfId="0" quotePrefix="1" applyNumberFormat="1" applyFont="1" applyProtection="1"/>
    <xf numFmtId="0" fontId="44" fillId="0" borderId="0" xfId="0" applyFont="1" applyProtection="1"/>
    <xf numFmtId="0" fontId="44" fillId="9" borderId="0" xfId="0" applyNumberFormat="1" applyFont="1" applyFill="1" applyProtection="1"/>
    <xf numFmtId="0" fontId="47" fillId="9" borderId="0" xfId="0" applyFont="1" applyFill="1" applyAlignment="1" applyProtection="1">
      <alignment vertical="center"/>
    </xf>
    <xf numFmtId="0" fontId="44" fillId="0" borderId="0" xfId="0" applyFont="1" applyFill="1" applyAlignment="1" applyProtection="1">
      <alignment vertical="center"/>
    </xf>
    <xf numFmtId="0" fontId="43" fillId="0" borderId="8" xfId="0" applyFont="1" applyBorder="1" applyAlignment="1" applyProtection="1">
      <alignment vertical="center" shrinkToFit="1"/>
    </xf>
    <xf numFmtId="0" fontId="44" fillId="0" borderId="1" xfId="0" applyFont="1" applyFill="1" applyBorder="1" applyAlignment="1" applyProtection="1">
      <alignment vertical="center"/>
    </xf>
    <xf numFmtId="0" fontId="44" fillId="0" borderId="1" xfId="0" applyFont="1" applyBorder="1" applyAlignment="1" applyProtection="1"/>
    <xf numFmtId="0" fontId="44" fillId="0" borderId="8" xfId="0" applyFont="1" applyBorder="1" applyAlignment="1" applyProtection="1"/>
    <xf numFmtId="0" fontId="44" fillId="0" borderId="2" xfId="0" applyFont="1" applyFill="1" applyBorder="1" applyAlignment="1" applyProtection="1">
      <alignment horizontal="distributed" vertical="center" justifyLastLine="1"/>
    </xf>
    <xf numFmtId="0" fontId="32" fillId="0" borderId="7" xfId="0" applyFont="1" applyBorder="1" applyAlignment="1" applyProtection="1">
      <alignment horizontal="center" vertical="center" shrinkToFit="1"/>
    </xf>
    <xf numFmtId="0" fontId="44" fillId="0" borderId="2" xfId="0" applyFont="1" applyBorder="1" applyAlignment="1" applyProtection="1">
      <alignment horizontal="center" vertical="center" shrinkToFit="1"/>
    </xf>
    <xf numFmtId="0" fontId="44" fillId="0" borderId="2" xfId="0" applyFont="1" applyBorder="1" applyAlignment="1" applyProtection="1">
      <alignment horizontal="center" vertical="center"/>
    </xf>
    <xf numFmtId="0" fontId="55" fillId="0" borderId="3" xfId="0" applyFont="1" applyFill="1" applyBorder="1" applyAlignment="1" applyProtection="1">
      <alignment horizontal="distributed" vertical="center" justifyLastLine="1"/>
    </xf>
    <xf numFmtId="0" fontId="44" fillId="0" borderId="4" xfId="0" applyFont="1" applyBorder="1" applyAlignment="1" applyProtection="1">
      <alignment horizontal="distributed" vertical="center" justifyLastLine="1"/>
    </xf>
    <xf numFmtId="0" fontId="44" fillId="0" borderId="0" xfId="0" applyFont="1" applyFill="1" applyBorder="1" applyAlignment="1" applyProtection="1">
      <alignment vertical="center"/>
    </xf>
    <xf numFmtId="0" fontId="44" fillId="0" borderId="0" xfId="0" applyFont="1" applyFill="1" applyProtection="1"/>
    <xf numFmtId="0" fontId="44" fillId="0" borderId="0" xfId="0" applyFont="1" applyAlignment="1" applyProtection="1">
      <alignment horizontal="center"/>
    </xf>
    <xf numFmtId="0" fontId="44" fillId="0" borderId="0" xfId="0" quotePrefix="1" applyFont="1" applyProtection="1"/>
    <xf numFmtId="0" fontId="47" fillId="2" borderId="0" xfId="0" applyFont="1" applyFill="1" applyAlignment="1" applyProtection="1">
      <alignment vertical="center"/>
    </xf>
    <xf numFmtId="0" fontId="44" fillId="0" borderId="5" xfId="0" applyFont="1" applyFill="1" applyBorder="1" applyAlignment="1" applyProtection="1">
      <alignment vertical="center"/>
    </xf>
    <xf numFmtId="0" fontId="44" fillId="0" borderId="6" xfId="0" applyFont="1" applyFill="1" applyBorder="1" applyAlignment="1" applyProtection="1">
      <alignment vertical="center"/>
    </xf>
    <xf numFmtId="0" fontId="44" fillId="0" borderId="0" xfId="0" applyFont="1" applyFill="1" applyBorder="1" applyProtection="1"/>
    <xf numFmtId="0" fontId="44" fillId="0" borderId="0" xfId="0" applyFont="1" applyFill="1" applyAlignment="1" applyProtection="1">
      <alignment horizontal="right" vertical="center"/>
    </xf>
    <xf numFmtId="0" fontId="44" fillId="0" borderId="0" xfId="0" applyFont="1" applyAlignment="1" applyProtection="1">
      <alignment horizontal="right"/>
    </xf>
    <xf numFmtId="0" fontId="44" fillId="0" borderId="0" xfId="0" applyFont="1" applyBorder="1" applyProtection="1"/>
    <xf numFmtId="0" fontId="44" fillId="0" borderId="0" xfId="0" applyFont="1" applyBorder="1" applyAlignment="1" applyProtection="1">
      <alignment horizontal="center"/>
    </xf>
    <xf numFmtId="0" fontId="57" fillId="3" borderId="0" xfId="7" applyFont="1" applyFill="1">
      <alignment vertical="center"/>
    </xf>
    <xf numFmtId="0" fontId="58" fillId="3" borderId="0" xfId="7" applyFont="1" applyFill="1">
      <alignment vertical="center"/>
    </xf>
    <xf numFmtId="0" fontId="58" fillId="0" borderId="0" xfId="7" applyFont="1">
      <alignment vertical="center"/>
    </xf>
    <xf numFmtId="0" fontId="39" fillId="5" borderId="0" xfId="7" applyFont="1" applyFill="1" applyAlignment="1">
      <alignment horizontal="center" vertical="center"/>
    </xf>
    <xf numFmtId="0" fontId="40" fillId="5" borderId="0" xfId="7" applyFont="1" applyFill="1" applyAlignment="1">
      <alignment horizontal="left" vertical="top" wrapText="1"/>
    </xf>
    <xf numFmtId="0" fontId="10" fillId="11" borderId="77" xfId="7" applyNumberFormat="1" applyFont="1" applyFill="1" applyBorder="1" applyAlignment="1" applyProtection="1">
      <alignment horizontal="center" vertical="center"/>
    </xf>
    <xf numFmtId="0" fontId="10" fillId="11" borderId="78" xfId="7" applyNumberFormat="1" applyFont="1" applyFill="1" applyBorder="1" applyAlignment="1" applyProtection="1">
      <alignment horizontal="center" vertical="center"/>
    </xf>
    <xf numFmtId="0" fontId="25" fillId="12" borderId="79" xfId="7" applyNumberFormat="1" applyFont="1" applyFill="1" applyBorder="1" applyAlignment="1" applyProtection="1">
      <alignment horizontal="center" vertical="center" shrinkToFit="1"/>
      <protection locked="0"/>
    </xf>
    <xf numFmtId="0" fontId="25" fillId="12" borderId="13" xfId="7" applyNumberFormat="1" applyFont="1" applyFill="1" applyBorder="1" applyAlignment="1" applyProtection="1">
      <alignment horizontal="center" vertical="center" shrinkToFit="1"/>
      <protection locked="0"/>
    </xf>
    <xf numFmtId="0" fontId="8" fillId="10" borderId="80" xfId="7" applyNumberFormat="1" applyFont="1" applyFill="1" applyBorder="1" applyAlignment="1" applyProtection="1">
      <alignment horizontal="center" vertical="center" shrinkToFit="1"/>
    </xf>
    <xf numFmtId="0" fontId="27" fillId="3" borderId="68" xfId="7" applyNumberFormat="1" applyFont="1" applyFill="1" applyBorder="1" applyAlignment="1" applyProtection="1">
      <alignment horizontal="center" vertical="center"/>
      <protection locked="0"/>
    </xf>
    <xf numFmtId="0" fontId="27" fillId="3" borderId="13" xfId="7" applyNumberFormat="1" applyFont="1" applyFill="1" applyBorder="1" applyAlignment="1" applyProtection="1">
      <alignment horizontal="center" vertical="center"/>
      <protection locked="0"/>
    </xf>
    <xf numFmtId="0" fontId="10" fillId="11" borderId="9" xfId="7" applyNumberFormat="1" applyFont="1" applyFill="1" applyBorder="1" applyAlignment="1" applyProtection="1">
      <alignment horizontal="center" vertical="center"/>
    </xf>
    <xf numFmtId="0" fontId="25" fillId="13" borderId="81" xfId="7" applyNumberFormat="1" applyFont="1" applyFill="1" applyBorder="1" applyAlignment="1" applyProtection="1">
      <alignment horizontal="center" vertical="center"/>
    </xf>
    <xf numFmtId="0" fontId="25" fillId="13" borderId="0" xfId="7" applyNumberFormat="1" applyFont="1" applyFill="1" applyBorder="1" applyAlignment="1" applyProtection="1">
      <alignment horizontal="center" vertical="center"/>
    </xf>
    <xf numFmtId="0" fontId="10" fillId="11" borderId="90" xfId="7" applyNumberFormat="1" applyFont="1" applyFill="1" applyBorder="1" applyAlignment="1" applyProtection="1">
      <alignment horizontal="center" vertical="center"/>
    </xf>
    <xf numFmtId="0" fontId="10" fillId="11" borderId="89" xfId="7" applyNumberFormat="1" applyFont="1" applyFill="1" applyBorder="1" applyAlignment="1" applyProtection="1">
      <alignment horizontal="center" vertical="center"/>
    </xf>
    <xf numFmtId="0" fontId="27" fillId="3" borderId="2" xfId="7" applyNumberFormat="1" applyFont="1" applyFill="1" applyBorder="1" applyAlignment="1" applyProtection="1">
      <alignment horizontal="center" vertical="center"/>
      <protection locked="0"/>
    </xf>
    <xf numFmtId="0" fontId="10" fillId="11" borderId="10" xfId="7" applyNumberFormat="1" applyFont="1" applyFill="1" applyBorder="1" applyAlignment="1" applyProtection="1">
      <alignment horizontal="center" vertical="center"/>
    </xf>
    <xf numFmtId="0" fontId="29" fillId="5" borderId="83" xfId="7" applyNumberFormat="1" applyFont="1" applyFill="1" applyBorder="1" applyAlignment="1" applyProtection="1">
      <alignment horizontal="center" vertical="center"/>
    </xf>
    <xf numFmtId="0" fontId="29" fillId="5" borderId="84" xfId="7" applyNumberFormat="1" applyFont="1" applyFill="1" applyBorder="1" applyAlignment="1" applyProtection="1">
      <alignment horizontal="center" vertical="center"/>
    </xf>
    <xf numFmtId="0" fontId="10" fillId="11" borderId="18" xfId="7" applyNumberFormat="1" applyFont="1" applyFill="1" applyBorder="1" applyAlignment="1" applyProtection="1">
      <alignment horizontal="center" vertical="center"/>
    </xf>
    <xf numFmtId="0" fontId="10" fillId="11" borderId="20" xfId="7" applyNumberFormat="1" applyFont="1" applyFill="1" applyBorder="1" applyAlignment="1" applyProtection="1">
      <alignment horizontal="center" vertical="center"/>
    </xf>
    <xf numFmtId="0" fontId="15" fillId="5" borderId="103" xfId="7" applyNumberFormat="1" applyFont="1" applyFill="1" applyBorder="1" applyAlignment="1" applyProtection="1">
      <alignment horizontal="center" vertical="center"/>
    </xf>
    <xf numFmtId="0" fontId="15" fillId="5" borderId="104" xfId="7" applyNumberFormat="1" applyFont="1" applyFill="1" applyBorder="1" applyAlignment="1" applyProtection="1">
      <alignment horizontal="center" vertical="center"/>
    </xf>
    <xf numFmtId="0" fontId="15" fillId="5" borderId="102" xfId="7" applyNumberFormat="1" applyFont="1" applyFill="1" applyBorder="1" applyAlignment="1" applyProtection="1">
      <alignment horizontal="center" vertical="center"/>
    </xf>
    <xf numFmtId="0" fontId="10" fillId="11" borderId="94" xfId="7" applyNumberFormat="1" applyFont="1" applyFill="1" applyBorder="1" applyAlignment="1" applyProtection="1">
      <alignment horizontal="center" vertical="center"/>
    </xf>
    <xf numFmtId="0" fontId="16" fillId="0" borderId="14" xfId="0" applyNumberFormat="1" applyFont="1" applyBorder="1" applyAlignment="1" applyProtection="1">
      <alignment horizontal="center" vertical="center"/>
    </xf>
    <xf numFmtId="0" fontId="16" fillId="0" borderId="4" xfId="0" applyNumberFormat="1" applyFont="1" applyBorder="1" applyAlignment="1" applyProtection="1">
      <alignment horizontal="center" vertical="center"/>
    </xf>
    <xf numFmtId="0" fontId="10" fillId="0" borderId="2" xfId="4" applyNumberFormat="1" applyFont="1" applyFill="1" applyBorder="1" applyAlignment="1" applyProtection="1">
      <alignment horizontal="center" vertical="center" justifyLastLine="1"/>
    </xf>
    <xf numFmtId="0" fontId="20" fillId="9" borderId="11" xfId="0" applyNumberFormat="1" applyFont="1" applyFill="1" applyBorder="1" applyAlignment="1" applyProtection="1">
      <alignment horizontal="center" vertical="center"/>
    </xf>
    <xf numFmtId="0" fontId="20" fillId="9" borderId="101" xfId="0" applyNumberFormat="1" applyFont="1" applyFill="1" applyBorder="1" applyAlignment="1" applyProtection="1">
      <alignment horizontal="center" vertical="center"/>
    </xf>
    <xf numFmtId="0" fontId="23" fillId="10" borderId="2" xfId="4" applyNumberFormat="1" applyFont="1" applyFill="1" applyBorder="1" applyAlignment="1" applyProtection="1">
      <alignment horizontal="center" vertical="center" justifyLastLine="1"/>
      <protection locked="0"/>
    </xf>
    <xf numFmtId="0" fontId="18" fillId="9" borderId="0" xfId="2" applyFont="1" applyFill="1" applyAlignment="1" applyProtection="1">
      <alignment horizontal="left" vertical="center" wrapText="1"/>
    </xf>
    <xf numFmtId="0" fontId="22" fillId="3" borderId="43" xfId="2" applyFont="1" applyFill="1" applyBorder="1" applyAlignment="1" applyProtection="1">
      <alignment horizontal="center" vertical="center" wrapText="1"/>
    </xf>
    <xf numFmtId="0" fontId="22" fillId="3" borderId="44" xfId="2" applyFont="1" applyFill="1" applyBorder="1" applyAlignment="1" applyProtection="1">
      <alignment horizontal="center" vertical="center" wrapText="1"/>
    </xf>
    <xf numFmtId="0" fontId="22" fillId="3" borderId="45" xfId="2" applyFont="1" applyFill="1" applyBorder="1" applyAlignment="1" applyProtection="1">
      <alignment horizontal="center" vertical="center" wrapText="1"/>
    </xf>
    <xf numFmtId="0" fontId="22" fillId="3" borderId="63" xfId="2" applyFont="1" applyFill="1" applyBorder="1" applyAlignment="1" applyProtection="1">
      <alignment horizontal="center" vertical="center" wrapText="1"/>
    </xf>
    <xf numFmtId="0" fontId="22" fillId="3" borderId="0" xfId="2" applyFont="1" applyFill="1" applyBorder="1" applyAlignment="1" applyProtection="1">
      <alignment horizontal="center" vertical="center" wrapText="1"/>
    </xf>
    <xf numFmtId="0" fontId="22" fillId="3" borderId="59" xfId="2" applyFont="1" applyFill="1" applyBorder="1" applyAlignment="1" applyProtection="1">
      <alignment horizontal="center" vertical="center" wrapText="1"/>
    </xf>
    <xf numFmtId="0" fontId="22" fillId="3" borderId="46" xfId="2" applyFont="1" applyFill="1" applyBorder="1" applyAlignment="1" applyProtection="1">
      <alignment horizontal="center" vertical="center" wrapText="1"/>
    </xf>
    <xf numFmtId="0" fontId="22" fillId="3" borderId="47" xfId="2" applyFont="1" applyFill="1" applyBorder="1" applyAlignment="1" applyProtection="1">
      <alignment horizontal="center" vertical="center" wrapText="1"/>
    </xf>
    <xf numFmtId="0" fontId="22" fillId="3" borderId="48" xfId="2" applyFont="1" applyFill="1" applyBorder="1" applyAlignment="1" applyProtection="1">
      <alignment horizontal="center" vertical="center" wrapText="1"/>
    </xf>
    <xf numFmtId="0" fontId="8" fillId="3" borderId="20" xfId="2" applyFont="1" applyFill="1" applyBorder="1" applyAlignment="1" applyProtection="1">
      <alignment horizontal="center" vertical="center" shrinkToFit="1"/>
    </xf>
    <xf numFmtId="0" fontId="8" fillId="3" borderId="98" xfId="2" applyFont="1" applyFill="1" applyBorder="1" applyAlignment="1" applyProtection="1">
      <alignment horizontal="center" vertical="center" shrinkToFit="1"/>
    </xf>
    <xf numFmtId="0" fontId="8" fillId="3" borderId="89" xfId="2" applyFont="1" applyFill="1" applyBorder="1" applyAlignment="1" applyProtection="1">
      <alignment horizontal="center" vertical="center" shrinkToFit="1"/>
    </xf>
    <xf numFmtId="0" fontId="35" fillId="0" borderId="46" xfId="0" applyFont="1" applyBorder="1" applyAlignment="1" applyProtection="1">
      <alignment horizontal="center" vertical="center"/>
    </xf>
    <xf numFmtId="0" fontId="35" fillId="0" borderId="47" xfId="0" applyFont="1" applyBorder="1" applyAlignment="1" applyProtection="1">
      <alignment horizontal="center" vertical="center"/>
    </xf>
    <xf numFmtId="0" fontId="35" fillId="0" borderId="63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5" fillId="0" borderId="43" xfId="0" applyFont="1" applyBorder="1" applyAlignment="1" applyProtection="1">
      <alignment horizontal="center" vertical="center"/>
    </xf>
    <xf numFmtId="0" fontId="35" fillId="0" borderId="44" xfId="0" applyFont="1" applyBorder="1" applyAlignment="1" applyProtection="1">
      <alignment horizontal="center" vertical="center"/>
    </xf>
    <xf numFmtId="0" fontId="23" fillId="7" borderId="43" xfId="0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 applyProtection="1">
      <alignment horizontal="center" vertical="center"/>
    </xf>
    <xf numFmtId="0" fontId="23" fillId="7" borderId="45" xfId="0" applyFont="1" applyFill="1" applyBorder="1" applyAlignment="1" applyProtection="1">
      <alignment horizontal="center" vertical="center"/>
    </xf>
    <xf numFmtId="0" fontId="23" fillId="7" borderId="46" xfId="0" applyFont="1" applyFill="1" applyBorder="1" applyAlignment="1" applyProtection="1">
      <alignment horizontal="center" vertical="center"/>
    </xf>
    <xf numFmtId="0" fontId="23" fillId="7" borderId="47" xfId="0" applyFont="1" applyFill="1" applyBorder="1" applyAlignment="1" applyProtection="1">
      <alignment horizontal="center" vertical="center"/>
    </xf>
    <xf numFmtId="0" fontId="23" fillId="7" borderId="48" xfId="0" applyFont="1" applyFill="1" applyBorder="1" applyAlignment="1" applyProtection="1">
      <alignment horizontal="center" vertical="center"/>
    </xf>
    <xf numFmtId="0" fontId="22" fillId="8" borderId="43" xfId="0" applyFont="1" applyFill="1" applyBorder="1" applyAlignment="1" applyProtection="1">
      <alignment horizontal="center" vertical="center" wrapText="1"/>
    </xf>
    <xf numFmtId="0" fontId="22" fillId="8" borderId="44" xfId="0" applyFont="1" applyFill="1" applyBorder="1" applyAlignment="1" applyProtection="1">
      <alignment horizontal="center" vertical="center"/>
    </xf>
    <xf numFmtId="0" fontId="22" fillId="8" borderId="45" xfId="0" applyFont="1" applyFill="1" applyBorder="1" applyAlignment="1" applyProtection="1">
      <alignment horizontal="center" vertical="center"/>
    </xf>
    <xf numFmtId="0" fontId="22" fillId="8" borderId="46" xfId="0" applyFont="1" applyFill="1" applyBorder="1" applyAlignment="1" applyProtection="1">
      <alignment horizontal="center" vertical="center"/>
    </xf>
    <xf numFmtId="0" fontId="22" fillId="8" borderId="47" xfId="0" applyFont="1" applyFill="1" applyBorder="1" applyAlignment="1" applyProtection="1">
      <alignment horizontal="center" vertical="center"/>
    </xf>
    <xf numFmtId="0" fontId="22" fillId="8" borderId="48" xfId="0" applyFont="1" applyFill="1" applyBorder="1" applyAlignment="1" applyProtection="1">
      <alignment horizontal="center" vertical="center"/>
    </xf>
    <xf numFmtId="0" fontId="35" fillId="0" borderId="44" xfId="0" quotePrefix="1" applyFont="1" applyBorder="1" applyAlignment="1" applyProtection="1">
      <alignment horizontal="center" vertical="center"/>
    </xf>
    <xf numFmtId="0" fontId="35" fillId="0" borderId="49" xfId="0" quotePrefix="1" applyFont="1" applyBorder="1" applyAlignment="1" applyProtection="1">
      <alignment horizontal="center" vertical="center"/>
    </xf>
    <xf numFmtId="0" fontId="35" fillId="0" borderId="51" xfId="0" quotePrefix="1" applyFont="1" applyBorder="1" applyAlignment="1" applyProtection="1">
      <alignment horizontal="center" vertical="center"/>
    </xf>
    <xf numFmtId="0" fontId="35" fillId="0" borderId="17" xfId="0" quotePrefix="1" applyFont="1" applyBorder="1" applyAlignment="1" applyProtection="1">
      <alignment horizontal="center" vertical="center"/>
    </xf>
    <xf numFmtId="0" fontId="35" fillId="0" borderId="26" xfId="0" quotePrefix="1" applyFont="1" applyBorder="1" applyAlignment="1" applyProtection="1">
      <alignment horizontal="center" vertical="center"/>
    </xf>
    <xf numFmtId="0" fontId="22" fillId="0" borderId="50" xfId="0" applyFont="1" applyBorder="1" applyAlignment="1" applyProtection="1">
      <alignment horizontal="center" vertical="center"/>
    </xf>
    <xf numFmtId="0" fontId="22" fillId="0" borderId="44" xfId="0" applyFont="1" applyBorder="1" applyAlignment="1" applyProtection="1">
      <alignment horizontal="center" vertical="center"/>
    </xf>
    <xf numFmtId="0" fontId="22" fillId="0" borderId="45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2" fillId="0" borderId="52" xfId="0" applyFont="1" applyBorder="1" applyAlignment="1" applyProtection="1">
      <alignment horizontal="center" vertical="center"/>
    </xf>
    <xf numFmtId="0" fontId="35" fillId="0" borderId="53" xfId="0" applyFont="1" applyBorder="1" applyAlignment="1" applyProtection="1">
      <alignment horizontal="center" vertical="center"/>
    </xf>
    <xf numFmtId="0" fontId="35" fillId="0" borderId="40" xfId="0" applyFont="1" applyBorder="1" applyAlignment="1" applyProtection="1">
      <alignment horizontal="center" vertical="center"/>
    </xf>
    <xf numFmtId="0" fontId="35" fillId="0" borderId="25" xfId="0" applyFont="1" applyBorder="1" applyAlignment="1" applyProtection="1">
      <alignment horizontal="center" vertical="center"/>
    </xf>
    <xf numFmtId="0" fontId="35" fillId="0" borderId="55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40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center" vertical="center"/>
    </xf>
    <xf numFmtId="0" fontId="16" fillId="0" borderId="48" xfId="0" applyFont="1" applyBorder="1" applyAlignment="1" applyProtection="1">
      <alignment horizontal="center" vertical="center"/>
    </xf>
    <xf numFmtId="0" fontId="36" fillId="3" borderId="43" xfId="0" applyFont="1" applyFill="1" applyBorder="1" applyAlignment="1" applyProtection="1">
      <alignment horizontal="center" vertical="center"/>
    </xf>
    <xf numFmtId="0" fontId="36" fillId="3" borderId="44" xfId="0" applyFont="1" applyFill="1" applyBorder="1" applyAlignment="1" applyProtection="1">
      <alignment horizontal="center" vertical="center"/>
    </xf>
    <xf numFmtId="0" fontId="36" fillId="3" borderId="45" xfId="0" applyFont="1" applyFill="1" applyBorder="1" applyAlignment="1" applyProtection="1">
      <alignment horizontal="center" vertical="center"/>
    </xf>
    <xf numFmtId="0" fontId="36" fillId="3" borderId="46" xfId="0" applyFont="1" applyFill="1" applyBorder="1" applyAlignment="1" applyProtection="1">
      <alignment horizontal="center" vertical="center"/>
    </xf>
    <xf numFmtId="0" fontId="36" fillId="3" borderId="47" xfId="0" applyFont="1" applyFill="1" applyBorder="1" applyAlignment="1" applyProtection="1">
      <alignment horizontal="center" vertical="center"/>
    </xf>
    <xf numFmtId="0" fontId="36" fillId="3" borderId="48" xfId="0" applyFont="1" applyFill="1" applyBorder="1" applyAlignment="1" applyProtection="1">
      <alignment horizontal="center" vertical="center"/>
    </xf>
    <xf numFmtId="0" fontId="8" fillId="0" borderId="57" xfId="0" applyFont="1" applyBorder="1" applyAlignment="1" applyProtection="1">
      <alignment horizontal="center"/>
    </xf>
    <xf numFmtId="0" fontId="8" fillId="0" borderId="58" xfId="0" applyFont="1" applyBorder="1" applyAlignment="1" applyProtection="1">
      <alignment horizontal="center"/>
    </xf>
    <xf numFmtId="0" fontId="14" fillId="0" borderId="50" xfId="0" applyFont="1" applyBorder="1" applyAlignment="1" applyProtection="1">
      <alignment horizontal="center" vertical="center" wrapText="1"/>
    </xf>
    <xf numFmtId="0" fontId="14" fillId="0" borderId="49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</xf>
    <xf numFmtId="0" fontId="14" fillId="0" borderId="45" xfId="0" applyFont="1" applyBorder="1" applyAlignment="1" applyProtection="1">
      <alignment horizontal="center" vertical="center" wrapText="1"/>
    </xf>
    <xf numFmtId="0" fontId="14" fillId="0" borderId="59" xfId="0" applyFont="1" applyBorder="1" applyAlignment="1" applyProtection="1">
      <alignment horizontal="center" vertical="center" wrapText="1"/>
    </xf>
    <xf numFmtId="0" fontId="14" fillId="0" borderId="52" xfId="0" applyFont="1" applyBorder="1" applyAlignment="1" applyProtection="1">
      <alignment horizontal="center" vertical="center" wrapText="1"/>
    </xf>
    <xf numFmtId="0" fontId="14" fillId="0" borderId="60" xfId="0" applyFont="1" applyBorder="1" applyAlignment="1" applyProtection="1">
      <alignment horizontal="center" vertical="center"/>
    </xf>
    <xf numFmtId="0" fontId="14" fillId="0" borderId="61" xfId="0" applyFont="1" applyBorder="1" applyAlignment="1" applyProtection="1">
      <alignment horizontal="center" vertical="center"/>
    </xf>
    <xf numFmtId="0" fontId="14" fillId="0" borderId="62" xfId="0" applyFont="1" applyBorder="1" applyAlignment="1" applyProtection="1">
      <alignment horizontal="center" vertical="center"/>
    </xf>
    <xf numFmtId="0" fontId="36" fillId="0" borderId="24" xfId="0" applyFont="1" applyBorder="1" applyAlignment="1" applyProtection="1">
      <alignment horizontal="center" vertical="center"/>
      <protection locked="0"/>
    </xf>
    <xf numFmtId="0" fontId="36" fillId="0" borderId="5" xfId="0" applyFont="1" applyBorder="1" applyAlignment="1" applyProtection="1">
      <alignment horizontal="center" vertical="center"/>
      <protection locked="0"/>
    </xf>
    <xf numFmtId="0" fontId="36" fillId="0" borderId="16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36" fillId="0" borderId="24" xfId="0" applyFont="1" applyBorder="1" applyAlignment="1" applyProtection="1">
      <alignment horizontal="center" vertical="center"/>
    </xf>
    <xf numFmtId="0" fontId="36" fillId="0" borderId="5" xfId="0" applyFont="1" applyBorder="1" applyAlignment="1" applyProtection="1">
      <alignment horizontal="center" vertical="center"/>
    </xf>
    <xf numFmtId="0" fontId="36" fillId="0" borderId="16" xfId="0" applyFont="1" applyBorder="1" applyAlignment="1" applyProtection="1">
      <alignment horizontal="center" vertical="center"/>
    </xf>
    <xf numFmtId="5" fontId="36" fillId="0" borderId="24" xfId="0" applyNumberFormat="1" applyFont="1" applyBorder="1" applyAlignment="1" applyProtection="1">
      <alignment horizontal="center" vertical="center"/>
    </xf>
    <xf numFmtId="5" fontId="36" fillId="0" borderId="54" xfId="0" applyNumberFormat="1" applyFont="1" applyBorder="1" applyAlignment="1" applyProtection="1">
      <alignment horizontal="center" vertical="center"/>
    </xf>
    <xf numFmtId="5" fontId="36" fillId="0" borderId="5" xfId="0" applyNumberFormat="1" applyFont="1" applyBorder="1" applyAlignment="1" applyProtection="1">
      <alignment horizontal="center" vertical="center"/>
    </xf>
    <xf numFmtId="5" fontId="36" fillId="0" borderId="59" xfId="0" applyNumberFormat="1" applyFont="1" applyBorder="1" applyAlignment="1" applyProtection="1">
      <alignment horizontal="center" vertical="center"/>
    </xf>
    <xf numFmtId="5" fontId="36" fillId="0" borderId="16" xfId="0" applyNumberFormat="1" applyFont="1" applyBorder="1" applyAlignment="1" applyProtection="1">
      <alignment horizontal="center" vertical="center"/>
    </xf>
    <xf numFmtId="5" fontId="36" fillId="0" borderId="52" xfId="0" applyNumberFormat="1" applyFont="1" applyBorder="1" applyAlignment="1" applyProtection="1">
      <alignment horizontal="center" vertical="center"/>
    </xf>
    <xf numFmtId="0" fontId="35" fillId="0" borderId="60" xfId="0" applyFont="1" applyBorder="1" applyAlignment="1" applyProtection="1">
      <alignment horizontal="center" vertical="center"/>
    </xf>
    <xf numFmtId="0" fontId="35" fillId="0" borderId="61" xfId="0" applyFont="1" applyBorder="1" applyAlignment="1" applyProtection="1">
      <alignment horizontal="center" vertical="center"/>
    </xf>
    <xf numFmtId="0" fontId="35" fillId="0" borderId="64" xfId="0" applyFont="1" applyBorder="1" applyAlignment="1" applyProtection="1">
      <alignment horizontal="center" vertical="center"/>
    </xf>
    <xf numFmtId="0" fontId="36" fillId="0" borderId="56" xfId="0" applyFont="1" applyBorder="1" applyAlignment="1" applyProtection="1">
      <alignment horizontal="center" vertical="center"/>
    </xf>
    <xf numFmtId="0" fontId="8" fillId="0" borderId="55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center"/>
    </xf>
    <xf numFmtId="5" fontId="36" fillId="0" borderId="43" xfId="0" applyNumberFormat="1" applyFont="1" applyBorder="1" applyAlignment="1" applyProtection="1">
      <alignment horizontal="center" vertical="center"/>
    </xf>
    <xf numFmtId="5" fontId="36" fillId="0" borderId="45" xfId="0" applyNumberFormat="1" applyFont="1" applyBorder="1" applyAlignment="1" applyProtection="1">
      <alignment horizontal="center" vertical="center"/>
    </xf>
    <xf numFmtId="5" fontId="36" fillId="0" borderId="63" xfId="0" applyNumberFormat="1" applyFont="1" applyBorder="1" applyAlignment="1" applyProtection="1">
      <alignment horizontal="center" vertical="center"/>
    </xf>
    <xf numFmtId="5" fontId="36" fillId="0" borderId="46" xfId="0" applyNumberFormat="1" applyFont="1" applyBorder="1" applyAlignment="1" applyProtection="1">
      <alignment horizontal="center" vertical="center"/>
    </xf>
    <xf numFmtId="5" fontId="36" fillId="0" borderId="48" xfId="0" applyNumberFormat="1" applyFont="1" applyBorder="1" applyAlignment="1" applyProtection="1">
      <alignment horizontal="center" vertical="center"/>
    </xf>
    <xf numFmtId="0" fontId="35" fillId="0" borderId="24" xfId="0" applyFont="1" applyBorder="1" applyAlignment="1" applyProtection="1">
      <alignment horizontal="center" vertical="center"/>
    </xf>
    <xf numFmtId="0" fontId="35" fillId="0" borderId="16" xfId="0" applyFont="1" applyBorder="1" applyAlignment="1" applyProtection="1">
      <alignment horizontal="center" vertical="center"/>
    </xf>
    <xf numFmtId="0" fontId="35" fillId="0" borderId="26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3" borderId="65" xfId="0" applyFont="1" applyFill="1" applyBorder="1" applyAlignment="1" applyProtection="1">
      <alignment horizontal="center" vertical="center"/>
    </xf>
    <xf numFmtId="0" fontId="22" fillId="3" borderId="66" xfId="0" applyFont="1" applyFill="1" applyBorder="1" applyAlignment="1" applyProtection="1">
      <alignment horizontal="center" vertical="center"/>
    </xf>
    <xf numFmtId="0" fontId="36" fillId="0" borderId="67" xfId="0" applyFont="1" applyBorder="1" applyAlignment="1" applyProtection="1">
      <alignment horizontal="center" vertical="center"/>
      <protection locked="0"/>
    </xf>
    <xf numFmtId="0" fontId="36" fillId="0" borderId="68" xfId="0" applyFont="1" applyBorder="1" applyAlignment="1" applyProtection="1">
      <alignment horizontal="center" vertical="center"/>
      <protection locked="0"/>
    </xf>
    <xf numFmtId="0" fontId="8" fillId="0" borderId="67" xfId="0" applyFont="1" applyBorder="1" applyAlignment="1" applyProtection="1">
      <alignment horizontal="center" vertical="center" wrapText="1"/>
    </xf>
    <xf numFmtId="0" fontId="8" fillId="0" borderId="68" xfId="0" applyFont="1" applyBorder="1" applyAlignment="1" applyProtection="1">
      <alignment horizontal="center" vertical="center"/>
    </xf>
    <xf numFmtId="5" fontId="36" fillId="0" borderId="70" xfId="0" applyNumberFormat="1" applyFont="1" applyBorder="1" applyAlignment="1" applyProtection="1">
      <alignment horizontal="center" vertical="center"/>
    </xf>
    <xf numFmtId="5" fontId="36" fillId="0" borderId="13" xfId="0" applyNumberFormat="1" applyFont="1" applyBorder="1" applyAlignment="1" applyProtection="1">
      <alignment horizontal="center" vertical="center"/>
    </xf>
    <xf numFmtId="0" fontId="16" fillId="3" borderId="57" xfId="0" applyFont="1" applyFill="1" applyBorder="1" applyAlignment="1" applyProtection="1">
      <alignment horizontal="center" vertical="center"/>
    </xf>
    <xf numFmtId="0" fontId="16" fillId="3" borderId="71" xfId="0" applyFont="1" applyFill="1" applyBorder="1" applyAlignment="1" applyProtection="1">
      <alignment horizontal="center" vertical="center"/>
    </xf>
    <xf numFmtId="0" fontId="16" fillId="3" borderId="58" xfId="0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</xf>
    <xf numFmtId="0" fontId="16" fillId="3" borderId="74" xfId="0" applyFont="1" applyFill="1" applyBorder="1" applyAlignment="1" applyProtection="1">
      <alignment horizontal="center" vertical="center"/>
    </xf>
    <xf numFmtId="0" fontId="16" fillId="3" borderId="75" xfId="0" applyFont="1" applyFill="1" applyBorder="1" applyAlignment="1" applyProtection="1">
      <alignment horizontal="center" vertical="center"/>
    </xf>
    <xf numFmtId="5" fontId="23" fillId="0" borderId="71" xfId="0" applyNumberFormat="1" applyFont="1" applyBorder="1" applyAlignment="1" applyProtection="1">
      <alignment horizontal="center" vertical="center"/>
    </xf>
    <xf numFmtId="0" fontId="23" fillId="0" borderId="71" xfId="0" applyFont="1" applyBorder="1" applyAlignment="1" applyProtection="1">
      <alignment horizontal="center" vertical="center"/>
    </xf>
    <xf numFmtId="0" fontId="23" fillId="0" borderId="72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73" xfId="0" applyFont="1" applyBorder="1" applyAlignment="1" applyProtection="1">
      <alignment horizontal="center" vertical="center"/>
    </xf>
    <xf numFmtId="0" fontId="23" fillId="0" borderId="75" xfId="0" applyFont="1" applyBorder="1" applyAlignment="1" applyProtection="1">
      <alignment horizontal="center" vertical="center"/>
    </xf>
    <xf numFmtId="0" fontId="23" fillId="0" borderId="76" xfId="0" applyFont="1" applyBorder="1" applyAlignment="1" applyProtection="1">
      <alignment horizontal="center" vertical="center"/>
    </xf>
    <xf numFmtId="0" fontId="43" fillId="0" borderId="14" xfId="0" applyNumberFormat="1" applyFont="1" applyBorder="1" applyAlignment="1" applyProtection="1">
      <alignment horizontal="center" vertical="center" shrinkToFit="1"/>
    </xf>
    <xf numFmtId="0" fontId="43" fillId="0" borderId="4" xfId="0" applyNumberFormat="1" applyFont="1" applyBorder="1" applyAlignment="1" applyProtection="1">
      <alignment horizontal="center" vertical="center" shrinkToFit="1"/>
    </xf>
    <xf numFmtId="0" fontId="46" fillId="0" borderId="7" xfId="0" applyNumberFormat="1" applyFont="1" applyFill="1" applyBorder="1" applyAlignment="1" applyProtection="1">
      <alignment horizontal="center" vertical="center"/>
    </xf>
    <xf numFmtId="0" fontId="46" fillId="0" borderId="1" xfId="0" applyNumberFormat="1" applyFont="1" applyFill="1" applyBorder="1" applyAlignment="1" applyProtection="1">
      <alignment horizontal="center" vertical="center"/>
    </xf>
    <xf numFmtId="0" fontId="46" fillId="0" borderId="8" xfId="0" applyNumberFormat="1" applyFont="1" applyFill="1" applyBorder="1" applyAlignment="1" applyProtection="1">
      <alignment horizontal="center" vertical="center"/>
    </xf>
    <xf numFmtId="0" fontId="52" fillId="0" borderId="19" xfId="0" applyNumberFormat="1" applyFont="1" applyFill="1" applyBorder="1" applyAlignment="1" applyProtection="1">
      <alignment horizontal="center" vertical="center" shrinkToFit="1"/>
    </xf>
    <xf numFmtId="0" fontId="52" fillId="0" borderId="27" xfId="0" applyNumberFormat="1" applyFont="1" applyFill="1" applyBorder="1" applyAlignment="1" applyProtection="1">
      <alignment horizontal="center" vertical="center" shrinkToFit="1"/>
    </xf>
    <xf numFmtId="0" fontId="49" fillId="0" borderId="36" xfId="0" applyNumberFormat="1" applyFont="1" applyFill="1" applyBorder="1" applyAlignment="1" applyProtection="1">
      <alignment horizontal="distributed" vertical="center" justifyLastLine="1" shrinkToFit="1"/>
    </xf>
    <xf numFmtId="0" fontId="49" fillId="0" borderId="37" xfId="0" applyNumberFormat="1" applyFont="1" applyFill="1" applyBorder="1" applyAlignment="1" applyProtection="1">
      <alignment horizontal="distributed" vertical="center" justifyLastLine="1" shrinkToFit="1"/>
    </xf>
    <xf numFmtId="0" fontId="49" fillId="0" borderId="38" xfId="0" applyNumberFormat="1" applyFont="1" applyFill="1" applyBorder="1" applyAlignment="1" applyProtection="1">
      <alignment horizontal="distributed" vertical="center" justifyLastLine="1" shrinkToFit="1"/>
    </xf>
    <xf numFmtId="0" fontId="44" fillId="0" borderId="33" xfId="0" applyNumberFormat="1" applyFont="1" applyFill="1" applyBorder="1" applyAlignment="1" applyProtection="1">
      <alignment horizontal="distributed" vertical="center" justifyLastLine="1" shrinkToFit="1"/>
    </xf>
    <xf numFmtId="0" fontId="44" fillId="0" borderId="34" xfId="0" applyNumberFormat="1" applyFont="1" applyFill="1" applyBorder="1" applyAlignment="1" applyProtection="1">
      <alignment horizontal="distributed" vertical="center" justifyLastLine="1" shrinkToFit="1"/>
    </xf>
    <xf numFmtId="0" fontId="44" fillId="0" borderId="35" xfId="0" applyNumberFormat="1" applyFont="1" applyFill="1" applyBorder="1" applyAlignment="1" applyProtection="1">
      <alignment horizontal="distributed" vertical="center" justifyLastLine="1" shrinkToFit="1"/>
    </xf>
    <xf numFmtId="0" fontId="53" fillId="0" borderId="0" xfId="0" applyNumberFormat="1" applyFont="1" applyFill="1" applyAlignment="1" applyProtection="1">
      <alignment vertical="center" wrapText="1"/>
    </xf>
    <xf numFmtId="0" fontId="53" fillId="0" borderId="0" xfId="0" applyNumberFormat="1" applyFont="1" applyFill="1" applyAlignment="1" applyProtection="1">
      <alignment vertical="center"/>
    </xf>
    <xf numFmtId="0" fontId="54" fillId="0" borderId="0" xfId="0" applyNumberFormat="1" applyFont="1" applyFill="1" applyAlignment="1" applyProtection="1">
      <alignment horizontal="right" vertical="center"/>
    </xf>
    <xf numFmtId="0" fontId="53" fillId="0" borderId="0" xfId="0" applyNumberFormat="1" applyFont="1" applyFill="1" applyAlignment="1" applyProtection="1">
      <alignment horizontal="right" vertical="center"/>
    </xf>
    <xf numFmtId="0" fontId="46" fillId="0" borderId="14" xfId="0" applyNumberFormat="1" applyFont="1" applyFill="1" applyBorder="1" applyAlignment="1" applyProtection="1">
      <alignment horizontal="distributed" vertical="center" justifyLastLine="1"/>
    </xf>
    <xf numFmtId="0" fontId="44" fillId="0" borderId="4" xfId="0" applyNumberFormat="1" applyFont="1" applyBorder="1" applyAlignment="1" applyProtection="1">
      <alignment horizontal="distributed" vertical="center" justifyLastLine="1"/>
    </xf>
    <xf numFmtId="0" fontId="46" fillId="0" borderId="24" xfId="0" applyNumberFormat="1" applyFont="1" applyFill="1" applyBorder="1" applyAlignment="1" applyProtection="1">
      <alignment horizontal="distributed" vertical="center" justifyLastLine="1"/>
    </xf>
    <xf numFmtId="0" fontId="44" fillId="0" borderId="25" xfId="0" applyNumberFormat="1" applyFont="1" applyBorder="1" applyAlignment="1" applyProtection="1">
      <alignment horizontal="distributed" vertical="center" justifyLastLine="1"/>
    </xf>
    <xf numFmtId="0" fontId="44" fillId="0" borderId="16" xfId="0" applyNumberFormat="1" applyFont="1" applyBorder="1" applyAlignment="1" applyProtection="1">
      <alignment horizontal="distributed" vertical="center" justifyLastLine="1"/>
    </xf>
    <xf numFmtId="0" fontId="44" fillId="0" borderId="26" xfId="0" applyNumberFormat="1" applyFont="1" applyBorder="1" applyAlignment="1" applyProtection="1">
      <alignment horizontal="distributed" vertical="center" justifyLastLine="1"/>
    </xf>
    <xf numFmtId="0" fontId="43" fillId="0" borderId="24" xfId="0" applyNumberFormat="1" applyFont="1" applyBorder="1" applyAlignment="1" applyProtection="1">
      <alignment horizontal="center" vertical="center" shrinkToFit="1"/>
    </xf>
    <xf numFmtId="0" fontId="43" fillId="0" borderId="25" xfId="0" applyNumberFormat="1" applyFont="1" applyBorder="1" applyAlignment="1" applyProtection="1">
      <alignment horizontal="center" vertical="center" shrinkToFit="1"/>
    </xf>
    <xf numFmtId="0" fontId="43" fillId="0" borderId="16" xfId="0" applyNumberFormat="1" applyFont="1" applyBorder="1" applyAlignment="1" applyProtection="1">
      <alignment horizontal="center" vertical="center" shrinkToFit="1"/>
    </xf>
    <xf numFmtId="0" fontId="43" fillId="0" borderId="26" xfId="0" applyNumberFormat="1" applyFont="1" applyBorder="1" applyAlignment="1" applyProtection="1">
      <alignment horizontal="center" vertical="center" shrinkToFit="1"/>
    </xf>
    <xf numFmtId="0" fontId="44" fillId="0" borderId="5" xfId="0" applyNumberFormat="1" applyFont="1" applyBorder="1" applyAlignment="1" applyProtection="1">
      <alignment horizontal="distributed" vertical="center" justifyLastLine="1"/>
    </xf>
    <xf numFmtId="0" fontId="44" fillId="0" borderId="6" xfId="0" applyNumberFormat="1" applyFont="1" applyBorder="1" applyAlignment="1" applyProtection="1">
      <alignment horizontal="distributed" vertical="center" justifyLastLine="1"/>
    </xf>
    <xf numFmtId="0" fontId="52" fillId="0" borderId="22" xfId="0" applyNumberFormat="1" applyFont="1" applyFill="1" applyBorder="1" applyAlignment="1" applyProtection="1">
      <alignment horizontal="center" vertical="center" shrinkToFit="1"/>
    </xf>
    <xf numFmtId="0" fontId="52" fillId="0" borderId="28" xfId="0" applyNumberFormat="1" applyFont="1" applyFill="1" applyBorder="1" applyAlignment="1" applyProtection="1">
      <alignment horizontal="center" vertical="center" shrinkToFit="1"/>
    </xf>
    <xf numFmtId="0" fontId="52" fillId="0" borderId="29" xfId="0" applyNumberFormat="1" applyFont="1" applyFill="1" applyBorder="1" applyAlignment="1" applyProtection="1">
      <alignment horizontal="center" vertical="center" shrinkToFit="1"/>
    </xf>
    <xf numFmtId="0" fontId="37" fillId="0" borderId="30" xfId="0" applyNumberFormat="1" applyFont="1" applyFill="1" applyBorder="1" applyAlignment="1" applyProtection="1">
      <alignment horizontal="center" vertical="center" shrinkToFit="1"/>
    </xf>
    <xf numFmtId="0" fontId="37" fillId="0" borderId="31" xfId="0" applyNumberFormat="1" applyFont="1" applyFill="1" applyBorder="1" applyAlignment="1" applyProtection="1">
      <alignment horizontal="center" vertical="center" shrinkToFit="1"/>
    </xf>
    <xf numFmtId="0" fontId="37" fillId="0" borderId="32" xfId="0" applyNumberFormat="1" applyFont="1" applyFill="1" applyBorder="1" applyAlignment="1" applyProtection="1">
      <alignment horizontal="center" vertical="center" shrinkToFit="1"/>
    </xf>
    <xf numFmtId="0" fontId="32" fillId="0" borderId="33" xfId="0" applyNumberFormat="1" applyFont="1" applyBorder="1" applyAlignment="1" applyProtection="1">
      <alignment horizontal="distributed" vertical="center" justifyLastLine="1" shrinkToFit="1"/>
    </xf>
    <xf numFmtId="0" fontId="32" fillId="0" borderId="34" xfId="0" applyNumberFormat="1" applyFont="1" applyBorder="1" applyAlignment="1" applyProtection="1">
      <alignment horizontal="distributed" vertical="center" justifyLastLine="1" shrinkToFit="1"/>
    </xf>
    <xf numFmtId="0" fontId="32" fillId="0" borderId="35" xfId="0" applyNumberFormat="1" applyFont="1" applyBorder="1" applyAlignment="1" applyProtection="1">
      <alignment horizontal="distributed" vertical="center" justifyLastLine="1" shrinkToFit="1"/>
    </xf>
    <xf numFmtId="0" fontId="43" fillId="0" borderId="36" xfId="0" applyNumberFormat="1" applyFont="1" applyBorder="1" applyAlignment="1" applyProtection="1">
      <alignment horizontal="distributed" vertical="center" justifyLastLine="1" shrinkToFit="1"/>
    </xf>
    <xf numFmtId="0" fontId="43" fillId="0" borderId="37" xfId="0" applyNumberFormat="1" applyFont="1" applyBorder="1" applyAlignment="1" applyProtection="1">
      <alignment horizontal="distributed" vertical="center" justifyLastLine="1" shrinkToFit="1"/>
    </xf>
    <xf numFmtId="0" fontId="43" fillId="0" borderId="38" xfId="0" applyNumberFormat="1" applyFont="1" applyBorder="1" applyAlignment="1" applyProtection="1">
      <alignment horizontal="distributed" vertical="center" justifyLastLine="1" shrinkToFit="1"/>
    </xf>
    <xf numFmtId="0" fontId="46" fillId="0" borderId="14" xfId="0" applyNumberFormat="1" applyFont="1" applyFill="1" applyBorder="1" applyAlignment="1" applyProtection="1">
      <alignment horizontal="center" vertical="center"/>
    </xf>
    <xf numFmtId="0" fontId="46" fillId="0" borderId="15" xfId="0" applyNumberFormat="1" applyFont="1" applyFill="1" applyBorder="1" applyAlignment="1" applyProtection="1">
      <alignment horizontal="center" vertical="center"/>
    </xf>
    <xf numFmtId="0" fontId="44" fillId="0" borderId="4" xfId="0" applyNumberFormat="1" applyFont="1" applyBorder="1" applyAlignment="1" applyProtection="1">
      <alignment horizontal="center" vertical="center"/>
    </xf>
    <xf numFmtId="0" fontId="37" fillId="0" borderId="21" xfId="0" applyNumberFormat="1" applyFont="1" applyFill="1" applyBorder="1" applyAlignment="1" applyProtection="1">
      <alignment horizontal="center" vertical="center" shrinkToFit="1"/>
    </xf>
    <xf numFmtId="0" fontId="37" fillId="0" borderId="39" xfId="0" applyNumberFormat="1" applyFont="1" applyFill="1" applyBorder="1" applyAlignment="1" applyProtection="1">
      <alignment horizontal="center" vertical="center" shrinkToFit="1"/>
    </xf>
    <xf numFmtId="0" fontId="43" fillId="0" borderId="7" xfId="0" applyNumberFormat="1" applyFont="1" applyFill="1" applyBorder="1" applyAlignment="1" applyProtection="1">
      <alignment horizontal="center" vertical="center" shrinkToFit="1"/>
    </xf>
    <xf numFmtId="0" fontId="43" fillId="0" borderId="1" xfId="0" applyNumberFormat="1" applyFont="1" applyFill="1" applyBorder="1" applyAlignment="1" applyProtection="1">
      <alignment horizontal="center" vertical="center" shrinkToFit="1"/>
    </xf>
    <xf numFmtId="0" fontId="43" fillId="0" borderId="8" xfId="0" applyNumberFormat="1" applyFont="1" applyFill="1" applyBorder="1" applyAlignment="1" applyProtection="1">
      <alignment horizontal="center" vertical="center" shrinkToFit="1"/>
    </xf>
    <xf numFmtId="0" fontId="43" fillId="0" borderId="40" xfId="0" applyNumberFormat="1" applyFont="1" applyBorder="1" applyAlignment="1" applyProtection="1">
      <alignment horizontal="center" vertical="center" shrinkToFit="1"/>
    </xf>
    <xf numFmtId="0" fontId="43" fillId="0" borderId="17" xfId="0" applyNumberFormat="1" applyFont="1" applyBorder="1" applyAlignment="1" applyProtection="1">
      <alignment horizontal="center" vertical="center" shrinkToFit="1"/>
    </xf>
    <xf numFmtId="0" fontId="43" fillId="0" borderId="7" xfId="0" applyNumberFormat="1" applyFont="1" applyBorder="1" applyAlignment="1" applyProtection="1">
      <alignment horizontal="center" vertical="center" shrinkToFit="1"/>
    </xf>
    <xf numFmtId="0" fontId="43" fillId="0" borderId="1" xfId="0" applyNumberFormat="1" applyFont="1" applyBorder="1" applyAlignment="1" applyProtection="1">
      <alignment horizontal="center" vertical="center" shrinkToFit="1"/>
    </xf>
    <xf numFmtId="0" fontId="43" fillId="0" borderId="8" xfId="0" applyNumberFormat="1" applyFont="1" applyBorder="1" applyAlignment="1" applyProtection="1">
      <alignment horizontal="center" vertical="center" shrinkToFit="1"/>
    </xf>
    <xf numFmtId="0" fontId="32" fillId="0" borderId="14" xfId="0" applyNumberFormat="1" applyFont="1" applyBorder="1" applyAlignment="1" applyProtection="1">
      <alignment horizontal="center" vertical="center" shrinkToFit="1"/>
    </xf>
    <xf numFmtId="0" fontId="32" fillId="0" borderId="4" xfId="0" applyNumberFormat="1" applyFont="1" applyBorder="1" applyAlignment="1" applyProtection="1">
      <alignment horizontal="center" vertical="center" shrinkToFit="1"/>
    </xf>
    <xf numFmtId="0" fontId="50" fillId="0" borderId="24" xfId="0" applyNumberFormat="1" applyFont="1" applyFill="1" applyBorder="1" applyAlignment="1" applyProtection="1">
      <alignment horizontal="center" vertical="center" wrapText="1"/>
    </xf>
    <xf numFmtId="0" fontId="51" fillId="0" borderId="25" xfId="0" applyNumberFormat="1" applyFont="1" applyBorder="1" applyAlignment="1" applyProtection="1">
      <alignment horizontal="center" vertical="center" wrapText="1"/>
    </xf>
    <xf numFmtId="0" fontId="50" fillId="0" borderId="5" xfId="0" applyNumberFormat="1" applyFont="1" applyFill="1" applyBorder="1" applyAlignment="1" applyProtection="1">
      <alignment horizontal="center" vertical="center" wrapText="1"/>
    </xf>
    <xf numFmtId="0" fontId="51" fillId="0" borderId="6" xfId="0" applyNumberFormat="1" applyFont="1" applyBorder="1" applyAlignment="1" applyProtection="1">
      <alignment horizontal="center" vertical="center" wrapText="1"/>
    </xf>
    <xf numFmtId="0" fontId="51" fillId="0" borderId="16" xfId="0" applyNumberFormat="1" applyFont="1" applyBorder="1" applyAlignment="1" applyProtection="1">
      <alignment horizontal="center" vertical="center" wrapText="1"/>
    </xf>
    <xf numFmtId="0" fontId="51" fillId="0" borderId="26" xfId="0" applyNumberFormat="1" applyFont="1" applyBorder="1" applyAlignment="1" applyProtection="1">
      <alignment horizontal="center" vertical="center" wrapText="1"/>
    </xf>
    <xf numFmtId="0" fontId="44" fillId="0" borderId="14" xfId="0" applyNumberFormat="1" applyFont="1" applyBorder="1" applyAlignment="1" applyProtection="1">
      <alignment horizontal="center" vertical="center"/>
    </xf>
    <xf numFmtId="0" fontId="45" fillId="0" borderId="0" xfId="0" applyNumberFormat="1" applyFont="1" applyFill="1" applyAlignment="1" applyProtection="1">
      <alignment horizontal="center" vertical="center" shrinkToFit="1"/>
    </xf>
    <xf numFmtId="0" fontId="47" fillId="6" borderId="0" xfId="0" applyNumberFormat="1" applyFont="1" applyFill="1" applyAlignment="1" applyProtection="1">
      <alignment horizontal="distributed" vertical="center" indent="10" shrinkToFit="1"/>
    </xf>
    <xf numFmtId="0" fontId="48" fillId="6" borderId="0" xfId="0" applyNumberFormat="1" applyFont="1" applyFill="1" applyAlignment="1" applyProtection="1">
      <alignment horizontal="distributed" vertical="center" indent="10" shrinkToFit="1"/>
    </xf>
    <xf numFmtId="0" fontId="46" fillId="0" borderId="16" xfId="0" applyNumberFormat="1" applyFont="1" applyFill="1" applyBorder="1" applyAlignment="1" applyProtection="1">
      <alignment horizontal="distributed" vertical="center" justifyLastLine="1"/>
    </xf>
    <xf numFmtId="0" fontId="46" fillId="0" borderId="26" xfId="0" applyNumberFormat="1" applyFont="1" applyFill="1" applyBorder="1" applyAlignment="1" applyProtection="1">
      <alignment horizontal="distributed" vertical="center" justifyLastLine="1"/>
    </xf>
    <xf numFmtId="0" fontId="45" fillId="0" borderId="7" xfId="0" applyNumberFormat="1" applyFont="1" applyBorder="1" applyAlignment="1" applyProtection="1">
      <alignment horizontal="center" vertical="center" shrinkToFit="1"/>
    </xf>
    <xf numFmtId="0" fontId="45" fillId="0" borderId="1" xfId="0" applyNumberFormat="1" applyFont="1" applyBorder="1" applyAlignment="1" applyProtection="1">
      <alignment horizontal="center" vertical="center" shrinkToFit="1"/>
    </xf>
    <xf numFmtId="0" fontId="43" fillId="0" borderId="7" xfId="0" applyNumberFormat="1" applyFont="1" applyFill="1" applyBorder="1" applyAlignment="1" applyProtection="1">
      <alignment horizontal="distributed" vertical="center" justifyLastLine="1"/>
    </xf>
    <xf numFmtId="0" fontId="43" fillId="0" borderId="1" xfId="0" applyNumberFormat="1" applyFont="1" applyBorder="1" applyAlignment="1" applyProtection="1">
      <alignment horizontal="distributed" vertical="center" justifyLastLine="1"/>
    </xf>
    <xf numFmtId="0" fontId="46" fillId="0" borderId="7" xfId="0" applyNumberFormat="1" applyFont="1" applyFill="1" applyBorder="1" applyAlignment="1" applyProtection="1">
      <alignment horizontal="distributed" vertical="center" justifyLastLine="1"/>
    </xf>
    <xf numFmtId="0" fontId="46" fillId="0" borderId="8" xfId="0" applyNumberFormat="1" applyFont="1" applyFill="1" applyBorder="1" applyAlignment="1" applyProtection="1">
      <alignment horizontal="distributed" vertical="center" justifyLastLine="1"/>
    </xf>
    <xf numFmtId="0" fontId="46" fillId="0" borderId="1" xfId="0" applyNumberFormat="1" applyFont="1" applyFill="1" applyBorder="1" applyAlignment="1" applyProtection="1">
      <alignment horizontal="center" vertical="center" justifyLastLine="1"/>
    </xf>
    <xf numFmtId="0" fontId="46" fillId="0" borderId="8" xfId="0" applyNumberFormat="1" applyFont="1" applyFill="1" applyBorder="1" applyAlignment="1" applyProtection="1">
      <alignment horizontal="center" vertical="center" justifyLastLine="1"/>
    </xf>
    <xf numFmtId="0" fontId="46" fillId="0" borderId="2" xfId="0" applyNumberFormat="1" applyFont="1" applyFill="1" applyBorder="1" applyAlignment="1" applyProtection="1">
      <alignment horizontal="distributed" vertical="center" justifyLastLine="1"/>
    </xf>
    <xf numFmtId="0" fontId="46" fillId="0" borderId="33" xfId="0" applyNumberFormat="1" applyFont="1" applyFill="1" applyBorder="1" applyAlignment="1" applyProtection="1">
      <alignment horizontal="center" vertical="center" shrinkToFit="1"/>
    </xf>
    <xf numFmtId="0" fontId="46" fillId="0" borderId="35" xfId="0" applyNumberFormat="1" applyFont="1" applyFill="1" applyBorder="1" applyAlignment="1" applyProtection="1">
      <alignment horizontal="center" vertical="center" shrinkToFit="1"/>
    </xf>
    <xf numFmtId="0" fontId="44" fillId="0" borderId="1" xfId="0" applyNumberFormat="1" applyFont="1" applyFill="1" applyBorder="1" applyAlignment="1" applyProtection="1">
      <alignment horizontal="left" vertical="center"/>
    </xf>
    <xf numFmtId="0" fontId="44" fillId="0" borderId="1" xfId="0" applyNumberFormat="1" applyFont="1" applyBorder="1" applyAlignment="1" applyProtection="1">
      <alignment horizontal="left" vertical="center"/>
    </xf>
    <xf numFmtId="0" fontId="44" fillId="0" borderId="8" xfId="0" applyNumberFormat="1" applyFont="1" applyBorder="1" applyAlignment="1" applyProtection="1">
      <alignment horizontal="left" vertical="center"/>
    </xf>
    <xf numFmtId="0" fontId="49" fillId="0" borderId="7" xfId="0" applyNumberFormat="1" applyFont="1" applyFill="1" applyBorder="1" applyAlignment="1" applyProtection="1">
      <alignment horizontal="distributed" vertical="center" justifyLastLine="1"/>
    </xf>
    <xf numFmtId="0" fontId="49" fillId="0" borderId="1" xfId="0" applyNumberFormat="1" applyFont="1" applyFill="1" applyBorder="1" applyAlignment="1" applyProtection="1">
      <alignment horizontal="distributed" vertical="center" justifyLastLine="1"/>
    </xf>
    <xf numFmtId="0" fontId="46" fillId="0" borderId="15" xfId="0" applyNumberFormat="1" applyFont="1" applyFill="1" applyBorder="1" applyAlignment="1" applyProtection="1">
      <alignment horizontal="distributed" vertical="center" justifyLastLine="1"/>
    </xf>
    <xf numFmtId="0" fontId="46" fillId="0" borderId="4" xfId="0" applyNumberFormat="1" applyFont="1" applyFill="1" applyBorder="1" applyAlignment="1" applyProtection="1">
      <alignment horizontal="distributed" vertical="center" justifyLastLine="1"/>
    </xf>
    <xf numFmtId="0" fontId="46" fillId="0" borderId="41" xfId="0" applyNumberFormat="1" applyFont="1" applyFill="1" applyBorder="1" applyAlignment="1" applyProtection="1">
      <alignment horizontal="center" vertical="center"/>
    </xf>
    <xf numFmtId="0" fontId="44" fillId="0" borderId="26" xfId="0" applyNumberFormat="1" applyFont="1" applyBorder="1" applyAlignment="1" applyProtection="1">
      <alignment horizontal="center" vertical="center"/>
    </xf>
    <xf numFmtId="0" fontId="46" fillId="0" borderId="22" xfId="0" applyNumberFormat="1" applyFont="1" applyFill="1" applyBorder="1" applyAlignment="1" applyProtection="1">
      <alignment horizontal="distributed" vertical="center" indent="6"/>
    </xf>
    <xf numFmtId="0" fontId="46" fillId="0" borderId="28" xfId="0" applyNumberFormat="1" applyFont="1" applyFill="1" applyBorder="1" applyAlignment="1" applyProtection="1">
      <alignment horizontal="distributed" vertical="center" indent="6"/>
    </xf>
    <xf numFmtId="0" fontId="46" fillId="0" borderId="27" xfId="0" applyNumberFormat="1" applyFont="1" applyFill="1" applyBorder="1" applyAlignment="1" applyProtection="1">
      <alignment horizontal="distributed" vertical="center" indent="6"/>
    </xf>
    <xf numFmtId="0" fontId="46" fillId="0" borderId="16" xfId="0" applyNumberFormat="1" applyFont="1" applyFill="1" applyBorder="1" applyAlignment="1" applyProtection="1">
      <alignment horizontal="center" vertical="center"/>
    </xf>
    <xf numFmtId="0" fontId="44" fillId="0" borderId="17" xfId="0" applyNumberFormat="1" applyFont="1" applyBorder="1" applyAlignment="1" applyProtection="1">
      <alignment horizontal="center" vertical="center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vertical="center"/>
    </xf>
    <xf numFmtId="0" fontId="54" fillId="0" borderId="0" xfId="0" applyFont="1" applyFill="1" applyAlignment="1" applyProtection="1">
      <alignment horizontal="right" vertical="center"/>
    </xf>
    <xf numFmtId="0" fontId="53" fillId="0" borderId="0" xfId="0" applyFont="1" applyFill="1" applyAlignment="1" applyProtection="1">
      <alignment horizontal="right" vertical="center"/>
    </xf>
    <xf numFmtId="0" fontId="45" fillId="0" borderId="0" xfId="0" applyFont="1" applyFill="1" applyAlignment="1" applyProtection="1">
      <alignment horizontal="center" vertical="center" shrinkToFit="1"/>
    </xf>
    <xf numFmtId="0" fontId="47" fillId="7" borderId="0" xfId="0" applyFont="1" applyFill="1" applyAlignment="1" applyProtection="1">
      <alignment horizontal="distributed" vertical="center" indent="10" shrinkToFit="1"/>
    </xf>
    <xf numFmtId="0" fontId="48" fillId="7" borderId="0" xfId="0" applyFont="1" applyFill="1" applyAlignment="1" applyProtection="1">
      <alignment horizontal="distributed" vertical="center" indent="10" shrinkToFit="1"/>
    </xf>
    <xf numFmtId="0" fontId="46" fillId="0" borderId="2" xfId="0" applyFont="1" applyFill="1" applyBorder="1" applyAlignment="1" applyProtection="1">
      <alignment horizontal="distributed" vertical="center" justifyLastLine="1"/>
    </xf>
    <xf numFmtId="0" fontId="46" fillId="0" borderId="7" xfId="0" applyFont="1" applyFill="1" applyBorder="1" applyAlignment="1" applyProtection="1">
      <alignment horizontal="distributed" vertical="center" justifyLastLine="1"/>
    </xf>
    <xf numFmtId="0" fontId="46" fillId="0" borderId="8" xfId="0" applyFont="1" applyFill="1" applyBorder="1" applyAlignment="1" applyProtection="1">
      <alignment horizontal="distributed" vertical="center" justifyLastLine="1"/>
    </xf>
    <xf numFmtId="0" fontId="46" fillId="0" borderId="1" xfId="0" applyFont="1" applyFill="1" applyBorder="1" applyAlignment="1" applyProtection="1">
      <alignment horizontal="center" vertical="center" justifyLastLine="1"/>
    </xf>
    <xf numFmtId="0" fontId="46" fillId="0" borderId="8" xfId="0" applyFont="1" applyFill="1" applyBorder="1" applyAlignment="1" applyProtection="1">
      <alignment horizontal="center" vertical="center" justifyLastLine="1"/>
    </xf>
    <xf numFmtId="0" fontId="43" fillId="0" borderId="7" xfId="0" applyFont="1" applyBorder="1" applyAlignment="1" applyProtection="1">
      <alignment horizontal="center" vertical="center"/>
    </xf>
    <xf numFmtId="0" fontId="43" fillId="0" borderId="1" xfId="0" applyFont="1" applyBorder="1" applyAlignment="1" applyProtection="1">
      <alignment horizontal="center" vertical="center"/>
    </xf>
    <xf numFmtId="0" fontId="45" fillId="0" borderId="7" xfId="0" applyFont="1" applyBorder="1" applyAlignment="1" applyProtection="1">
      <alignment horizontal="center" vertical="center"/>
    </xf>
    <xf numFmtId="0" fontId="45" fillId="0" borderId="1" xfId="0" applyFont="1" applyBorder="1" applyAlignment="1" applyProtection="1">
      <alignment horizontal="center" vertical="center"/>
    </xf>
    <xf numFmtId="0" fontId="46" fillId="0" borderId="33" xfId="0" applyFont="1" applyFill="1" applyBorder="1" applyAlignment="1" applyProtection="1">
      <alignment horizontal="center" vertical="center" shrinkToFit="1"/>
    </xf>
    <xf numFmtId="0" fontId="46" fillId="0" borderId="35" xfId="0" applyFont="1" applyFill="1" applyBorder="1" applyAlignment="1" applyProtection="1">
      <alignment horizontal="center" vertical="center" shrinkToFit="1"/>
    </xf>
    <xf numFmtId="0" fontId="46" fillId="0" borderId="16" xfId="0" applyFont="1" applyFill="1" applyBorder="1" applyAlignment="1" applyProtection="1">
      <alignment horizontal="distributed" vertical="center" justifyLastLine="1"/>
    </xf>
    <xf numFmtId="0" fontId="46" fillId="0" borderId="26" xfId="0" applyFont="1" applyFill="1" applyBorder="1" applyAlignment="1" applyProtection="1">
      <alignment horizontal="distributed" vertical="center" justifyLastLine="1"/>
    </xf>
    <xf numFmtId="0" fontId="46" fillId="0" borderId="24" xfId="0" applyFont="1" applyFill="1" applyBorder="1" applyAlignment="1" applyProtection="1">
      <alignment horizontal="distributed" vertical="center" justifyLastLine="1"/>
    </xf>
    <xf numFmtId="0" fontId="44" fillId="0" borderId="25" xfId="0" applyFont="1" applyBorder="1" applyAlignment="1" applyProtection="1">
      <alignment horizontal="distributed" vertical="center" justifyLastLine="1"/>
    </xf>
    <xf numFmtId="0" fontId="44" fillId="0" borderId="16" xfId="0" applyFont="1" applyBorder="1" applyAlignment="1" applyProtection="1">
      <alignment horizontal="distributed" vertical="center" justifyLastLine="1"/>
    </xf>
    <xf numFmtId="0" fontId="44" fillId="0" borderId="26" xfId="0" applyFont="1" applyBorder="1" applyAlignment="1" applyProtection="1">
      <alignment horizontal="distributed" vertical="center" justifyLastLine="1"/>
    </xf>
    <xf numFmtId="0" fontId="44" fillId="0" borderId="5" xfId="0" applyFont="1" applyBorder="1" applyAlignment="1" applyProtection="1">
      <alignment horizontal="distributed" vertical="center" justifyLastLine="1"/>
    </xf>
    <xf numFmtId="0" fontId="44" fillId="0" borderId="6" xfId="0" applyFont="1" applyBorder="1" applyAlignment="1" applyProtection="1">
      <alignment horizontal="distributed" vertical="center" justifyLastLine="1"/>
    </xf>
    <xf numFmtId="0" fontId="43" fillId="0" borderId="24" xfId="0" applyFont="1" applyBorder="1" applyAlignment="1" applyProtection="1">
      <alignment horizontal="center" vertical="center"/>
    </xf>
    <xf numFmtId="0" fontId="43" fillId="0" borderId="40" xfId="0" applyFont="1" applyBorder="1" applyAlignment="1" applyProtection="1">
      <alignment horizontal="center" vertical="center"/>
    </xf>
    <xf numFmtId="0" fontId="43" fillId="0" borderId="25" xfId="0" applyFont="1" applyBorder="1" applyAlignment="1" applyProtection="1">
      <alignment horizontal="center" vertical="center"/>
    </xf>
    <xf numFmtId="0" fontId="43" fillId="0" borderId="16" xfId="0" applyFont="1" applyBorder="1" applyAlignment="1" applyProtection="1">
      <alignment horizontal="center" vertical="center"/>
    </xf>
    <xf numFmtId="0" fontId="43" fillId="0" borderId="17" xfId="0" applyFont="1" applyBorder="1" applyAlignment="1" applyProtection="1">
      <alignment horizontal="center" vertical="center"/>
    </xf>
    <xf numFmtId="0" fontId="43" fillId="0" borderId="26" xfId="0" applyFont="1" applyBorder="1" applyAlignment="1" applyProtection="1">
      <alignment horizontal="center" vertical="center"/>
    </xf>
    <xf numFmtId="0" fontId="46" fillId="0" borderId="14" xfId="0" applyFont="1" applyFill="1" applyBorder="1" applyAlignment="1" applyProtection="1">
      <alignment horizontal="distributed" vertical="center" justifyLastLine="1"/>
    </xf>
    <xf numFmtId="0" fontId="46" fillId="0" borderId="15" xfId="0" applyFont="1" applyFill="1" applyBorder="1" applyAlignment="1" applyProtection="1">
      <alignment horizontal="distributed" vertical="center" justifyLastLine="1"/>
    </xf>
    <xf numFmtId="0" fontId="46" fillId="0" borderId="4" xfId="0" applyFont="1" applyFill="1" applyBorder="1" applyAlignment="1" applyProtection="1">
      <alignment horizontal="distributed" vertical="center" justifyLastLine="1"/>
    </xf>
    <xf numFmtId="0" fontId="46" fillId="0" borderId="7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/>
    </xf>
    <xf numFmtId="0" fontId="46" fillId="0" borderId="8" xfId="0" applyFont="1" applyFill="1" applyBorder="1" applyAlignment="1" applyProtection="1">
      <alignment horizontal="center" vertical="center"/>
    </xf>
    <xf numFmtId="0" fontId="46" fillId="0" borderId="14" xfId="0" applyFont="1" applyFill="1" applyBorder="1" applyAlignment="1" applyProtection="1">
      <alignment horizontal="center" vertical="center"/>
    </xf>
    <xf numFmtId="0" fontId="46" fillId="0" borderId="15" xfId="0" applyFont="1" applyFill="1" applyBorder="1" applyAlignment="1" applyProtection="1">
      <alignment horizontal="center" vertical="center"/>
    </xf>
    <xf numFmtId="0" fontId="44" fillId="0" borderId="4" xfId="0" applyFont="1" applyBorder="1" applyAlignment="1" applyProtection="1">
      <alignment horizontal="center" vertical="center"/>
    </xf>
    <xf numFmtId="0" fontId="37" fillId="0" borderId="30" xfId="0" applyFont="1" applyFill="1" applyBorder="1" applyAlignment="1" applyProtection="1">
      <alignment horizontal="center" vertical="center" shrinkToFit="1"/>
    </xf>
    <xf numFmtId="0" fontId="37" fillId="0" borderId="31" xfId="0" applyFont="1" applyFill="1" applyBorder="1" applyAlignment="1" applyProtection="1">
      <alignment horizontal="center" vertical="center" shrinkToFit="1"/>
    </xf>
    <xf numFmtId="0" fontId="37" fillId="0" borderId="32" xfId="0" applyFont="1" applyFill="1" applyBorder="1" applyAlignment="1" applyProtection="1">
      <alignment horizontal="center" vertical="center" shrinkToFit="1"/>
    </xf>
    <xf numFmtId="0" fontId="37" fillId="0" borderId="21" xfId="0" applyFont="1" applyFill="1" applyBorder="1" applyAlignment="1" applyProtection="1">
      <alignment horizontal="center" vertical="center" shrinkToFit="1"/>
    </xf>
    <xf numFmtId="0" fontId="37" fillId="0" borderId="39" xfId="0" applyFont="1" applyFill="1" applyBorder="1" applyAlignment="1" applyProtection="1">
      <alignment horizontal="center" vertical="center" shrinkToFit="1"/>
    </xf>
    <xf numFmtId="0" fontId="50" fillId="0" borderId="24" xfId="0" applyFont="1" applyFill="1" applyBorder="1" applyAlignment="1" applyProtection="1">
      <alignment horizontal="center" vertical="center" wrapText="1"/>
    </xf>
    <xf numFmtId="0" fontId="51" fillId="0" borderId="25" xfId="0" applyFont="1" applyBorder="1" applyAlignment="1" applyProtection="1">
      <alignment horizontal="center" vertical="center" wrapText="1"/>
    </xf>
    <xf numFmtId="0" fontId="50" fillId="0" borderId="5" xfId="0" applyFont="1" applyFill="1" applyBorder="1" applyAlignment="1" applyProtection="1">
      <alignment horizontal="center" vertical="center" wrapText="1"/>
    </xf>
    <xf numFmtId="0" fontId="51" fillId="0" borderId="6" xfId="0" applyFont="1" applyBorder="1" applyAlignment="1" applyProtection="1">
      <alignment horizontal="center" vertical="center" wrapText="1"/>
    </xf>
    <xf numFmtId="0" fontId="51" fillId="0" borderId="5" xfId="0" applyFont="1" applyBorder="1" applyAlignment="1" applyProtection="1">
      <alignment horizontal="center" vertical="center" wrapText="1"/>
    </xf>
    <xf numFmtId="0" fontId="46" fillId="0" borderId="22" xfId="0" applyFont="1" applyFill="1" applyBorder="1" applyAlignment="1" applyProtection="1">
      <alignment horizontal="distributed" vertical="center" indent="6"/>
    </xf>
    <xf numFmtId="0" fontId="46" fillId="0" borderId="28" xfId="0" applyFont="1" applyFill="1" applyBorder="1" applyAlignment="1" applyProtection="1">
      <alignment horizontal="distributed" vertical="center" indent="6"/>
    </xf>
    <xf numFmtId="0" fontId="46" fillId="0" borderId="27" xfId="0" applyFont="1" applyFill="1" applyBorder="1" applyAlignment="1" applyProtection="1">
      <alignment horizontal="distributed" vertical="center" indent="6"/>
    </xf>
    <xf numFmtId="0" fontId="46" fillId="0" borderId="16" xfId="0" applyFont="1" applyFill="1" applyBorder="1" applyAlignment="1" applyProtection="1">
      <alignment horizontal="center" vertical="center"/>
    </xf>
    <xf numFmtId="0" fontId="44" fillId="0" borderId="17" xfId="0" applyFont="1" applyBorder="1" applyAlignment="1" applyProtection="1">
      <alignment horizontal="center" vertical="center"/>
    </xf>
    <xf numFmtId="0" fontId="46" fillId="0" borderId="41" xfId="0" applyFont="1" applyFill="1" applyBorder="1" applyAlignment="1" applyProtection="1">
      <alignment horizontal="center" vertical="center"/>
    </xf>
    <xf numFmtId="0" fontId="44" fillId="0" borderId="26" xfId="0" applyFont="1" applyBorder="1" applyAlignment="1" applyProtection="1">
      <alignment horizontal="center" vertical="center"/>
    </xf>
    <xf numFmtId="0" fontId="49" fillId="0" borderId="2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52" fillId="0" borderId="22" xfId="0" applyFont="1" applyFill="1" applyBorder="1" applyAlignment="1" applyProtection="1">
      <alignment horizontal="center" vertical="center" shrinkToFit="1"/>
    </xf>
    <xf numFmtId="0" fontId="52" fillId="0" borderId="28" xfId="0" applyFont="1" applyFill="1" applyBorder="1" applyAlignment="1" applyProtection="1">
      <alignment horizontal="center" vertical="center" shrinkToFit="1"/>
    </xf>
    <xf numFmtId="0" fontId="52" fillId="0" borderId="29" xfId="0" applyFont="1" applyFill="1" applyBorder="1" applyAlignment="1" applyProtection="1">
      <alignment horizontal="center" vertical="center" shrinkToFit="1"/>
    </xf>
    <xf numFmtId="0" fontId="52" fillId="0" borderId="19" xfId="0" applyFont="1" applyFill="1" applyBorder="1" applyAlignment="1" applyProtection="1">
      <alignment horizontal="center" vertical="center" shrinkToFit="1"/>
    </xf>
    <xf numFmtId="0" fontId="52" fillId="0" borderId="27" xfId="0" applyFont="1" applyFill="1" applyBorder="1" applyAlignment="1" applyProtection="1">
      <alignment horizontal="center" vertical="center" shrinkToFit="1"/>
    </xf>
    <xf numFmtId="0" fontId="53" fillId="0" borderId="0" xfId="0" applyNumberFormat="1" applyFont="1" applyFill="1" applyAlignment="1" applyProtection="1">
      <alignment horizontal="left" vertical="center" wrapText="1"/>
    </xf>
    <xf numFmtId="0" fontId="49" fillId="0" borderId="24" xfId="0" applyFont="1" applyBorder="1" applyAlignment="1" applyProtection="1">
      <alignment horizontal="center" vertical="center" wrapText="1"/>
    </xf>
    <xf numFmtId="0" fontId="49" fillId="0" borderId="25" xfId="0" applyFont="1" applyBorder="1" applyAlignment="1" applyProtection="1">
      <alignment horizontal="center" vertical="center" wrapText="1"/>
    </xf>
    <xf numFmtId="0" fontId="49" fillId="0" borderId="16" xfId="0" applyFont="1" applyBorder="1" applyAlignment="1" applyProtection="1">
      <alignment horizontal="center" vertical="center" wrapText="1"/>
    </xf>
    <xf numFmtId="0" fontId="49" fillId="0" borderId="26" xfId="0" applyFont="1" applyBorder="1" applyAlignment="1" applyProtection="1">
      <alignment horizontal="center" vertical="center" wrapText="1"/>
    </xf>
    <xf numFmtId="0" fontId="49" fillId="0" borderId="14" xfId="0" applyNumberFormat="1" applyFont="1" applyBorder="1" applyAlignment="1" applyProtection="1">
      <alignment horizontal="center" vertical="center"/>
    </xf>
    <xf numFmtId="0" fontId="49" fillId="0" borderId="4" xfId="0" applyNumberFormat="1" applyFont="1" applyBorder="1" applyAlignment="1" applyProtection="1">
      <alignment horizontal="center" vertical="center"/>
    </xf>
    <xf numFmtId="0" fontId="46" fillId="0" borderId="16" xfId="0" applyFont="1" applyFill="1" applyBorder="1" applyAlignment="1" applyProtection="1">
      <alignment horizontal="distributed" vertical="center"/>
    </xf>
    <xf numFmtId="0" fontId="46" fillId="0" borderId="17" xfId="0" applyFont="1" applyFill="1" applyBorder="1" applyAlignment="1" applyProtection="1">
      <alignment horizontal="distributed" vertical="center"/>
    </xf>
    <xf numFmtId="0" fontId="44" fillId="0" borderId="17" xfId="0" applyFont="1" applyBorder="1" applyAlignment="1" applyProtection="1"/>
    <xf numFmtId="0" fontId="42" fillId="0" borderId="33" xfId="0" applyFont="1" applyFill="1" applyBorder="1" applyAlignment="1" applyProtection="1">
      <alignment horizontal="distributed" vertical="center" justifyLastLine="1" shrinkToFit="1"/>
    </xf>
    <xf numFmtId="0" fontId="42" fillId="0" borderId="34" xfId="0" applyFont="1" applyFill="1" applyBorder="1" applyAlignment="1" applyProtection="1">
      <alignment horizontal="distributed" vertical="center" justifyLastLine="1" shrinkToFit="1"/>
    </xf>
    <xf numFmtId="0" fontId="42" fillId="0" borderId="35" xfId="0" applyFont="1" applyFill="1" applyBorder="1" applyAlignment="1" applyProtection="1">
      <alignment horizontal="distributed" vertical="center" justifyLastLine="1" shrinkToFit="1"/>
    </xf>
    <xf numFmtId="0" fontId="49" fillId="0" borderId="7" xfId="0" applyFont="1" applyFill="1" applyBorder="1" applyAlignment="1" applyProtection="1">
      <alignment horizontal="distributed" vertical="center" justifyLastLine="1"/>
    </xf>
    <xf numFmtId="0" fontId="49" fillId="0" borderId="1" xfId="0" applyFont="1" applyFill="1" applyBorder="1" applyAlignment="1" applyProtection="1">
      <alignment horizontal="distributed" vertical="center" justifyLastLine="1"/>
    </xf>
    <xf numFmtId="0" fontId="49" fillId="0" borderId="14" xfId="0" applyFont="1" applyBorder="1" applyAlignment="1" applyProtection="1">
      <alignment horizontal="center" vertical="center"/>
    </xf>
    <xf numFmtId="0" fontId="49" fillId="0" borderId="4" xfId="0" applyFont="1" applyBorder="1" applyAlignment="1" applyProtection="1">
      <alignment horizontal="center" vertical="center"/>
    </xf>
    <xf numFmtId="0" fontId="45" fillId="0" borderId="21" xfId="0" applyFont="1" applyBorder="1" applyAlignment="1" applyProtection="1">
      <alignment horizontal="center" vertical="center" shrinkToFit="1"/>
    </xf>
    <xf numFmtId="0" fontId="45" fillId="0" borderId="39" xfId="0" applyFont="1" applyBorder="1" applyAlignment="1" applyProtection="1">
      <alignment horizontal="center" vertical="center" shrinkToFit="1"/>
    </xf>
    <xf numFmtId="0" fontId="48" fillId="0" borderId="36" xfId="0" applyFont="1" applyFill="1" applyBorder="1" applyAlignment="1" applyProtection="1">
      <alignment horizontal="distributed" vertical="center" justifyLastLine="1"/>
    </xf>
    <xf numFmtId="0" fontId="48" fillId="0" borderId="37" xfId="0" applyFont="1" applyFill="1" applyBorder="1" applyAlignment="1" applyProtection="1">
      <alignment horizontal="distributed" vertical="center" justifyLastLine="1"/>
    </xf>
    <xf numFmtId="0" fontId="48" fillId="0" borderId="38" xfId="0" applyFont="1" applyFill="1" applyBorder="1" applyAlignment="1" applyProtection="1">
      <alignment horizontal="distributed" vertical="center" justifyLastLine="1"/>
    </xf>
    <xf numFmtId="0" fontId="37" fillId="0" borderId="7" xfId="0" applyFont="1" applyBorder="1" applyAlignment="1" applyProtection="1">
      <alignment horizontal="distributed" vertical="center" justifyLastLine="1"/>
    </xf>
    <xf numFmtId="0" fontId="37" fillId="0" borderId="1" xfId="0" applyFont="1" applyBorder="1" applyAlignment="1" applyProtection="1">
      <alignment horizontal="distributed" vertical="center" justifyLastLine="1"/>
    </xf>
    <xf numFmtId="0" fontId="49" fillId="0" borderId="7" xfId="0" applyFont="1" applyBorder="1" applyAlignment="1" applyProtection="1">
      <alignment horizontal="center" vertical="center" shrinkToFit="1"/>
    </xf>
    <xf numFmtId="0" fontId="49" fillId="0" borderId="1" xfId="0" applyFont="1" applyBorder="1" applyAlignment="1" applyProtection="1">
      <alignment horizontal="center" vertical="center" shrinkToFit="1"/>
    </xf>
    <xf numFmtId="0" fontId="49" fillId="0" borderId="8" xfId="0" applyFont="1" applyBorder="1" applyAlignment="1" applyProtection="1">
      <alignment horizontal="center" vertical="center" shrinkToFit="1"/>
    </xf>
    <xf numFmtId="0" fontId="56" fillId="0" borderId="19" xfId="0" applyFont="1" applyBorder="1" applyAlignment="1" applyProtection="1">
      <alignment horizontal="center" vertical="center" shrinkToFit="1"/>
    </xf>
    <xf numFmtId="0" fontId="56" fillId="0" borderId="27" xfId="0" applyFont="1" applyBorder="1" applyAlignment="1" applyProtection="1">
      <alignment horizontal="center" vertical="center" shrinkToFit="1"/>
    </xf>
    <xf numFmtId="0" fontId="49" fillId="0" borderId="24" xfId="0" applyFont="1" applyBorder="1" applyAlignment="1" applyProtection="1">
      <alignment horizontal="center" vertical="center" shrinkToFit="1"/>
    </xf>
    <xf numFmtId="0" fontId="49" fillId="0" borderId="25" xfId="0" applyFont="1" applyBorder="1" applyAlignment="1" applyProtection="1">
      <alignment horizontal="center" vertical="center" shrinkToFit="1"/>
    </xf>
    <xf numFmtId="0" fontId="49" fillId="0" borderId="16" xfId="0" applyFont="1" applyBorder="1" applyAlignment="1" applyProtection="1">
      <alignment horizontal="center" vertical="center" shrinkToFit="1"/>
    </xf>
    <xf numFmtId="0" fontId="49" fillId="0" borderId="26" xfId="0" applyFont="1" applyBorder="1" applyAlignment="1" applyProtection="1">
      <alignment horizontal="center" vertical="center" shrinkToFit="1"/>
    </xf>
    <xf numFmtId="0" fontId="44" fillId="0" borderId="40" xfId="0" applyFont="1" applyFill="1" applyBorder="1" applyAlignment="1" applyProtection="1">
      <alignment horizontal="center"/>
    </xf>
    <xf numFmtId="0" fontId="45" fillId="0" borderId="30" xfId="0" applyFont="1" applyBorder="1" applyAlignment="1" applyProtection="1">
      <alignment horizontal="center" vertical="center" shrinkToFit="1"/>
    </xf>
    <xf numFmtId="0" fontId="45" fillId="0" borderId="32" xfId="0" applyFont="1" applyBorder="1" applyAlignment="1" applyProtection="1">
      <alignment horizontal="center" vertical="center" shrinkToFit="1"/>
    </xf>
    <xf numFmtId="0" fontId="56" fillId="0" borderId="22" xfId="0" applyFont="1" applyFill="1" applyBorder="1" applyAlignment="1" applyProtection="1">
      <alignment horizontal="center" vertical="center" shrinkToFit="1"/>
    </xf>
    <xf numFmtId="0" fontId="56" fillId="0" borderId="29" xfId="0" applyFont="1" applyFill="1" applyBorder="1" applyAlignment="1" applyProtection="1">
      <alignment horizontal="center" vertical="center" shrinkToFit="1"/>
    </xf>
    <xf numFmtId="0" fontId="49" fillId="0" borderId="7" xfId="0" applyFont="1" applyFill="1" applyBorder="1" applyAlignment="1" applyProtection="1">
      <alignment horizontal="center" vertical="center" shrinkToFit="1"/>
    </xf>
    <xf numFmtId="0" fontId="49" fillId="0" borderId="1" xfId="0" applyFont="1" applyFill="1" applyBorder="1" applyAlignment="1" applyProtection="1">
      <alignment horizontal="center" vertical="center" shrinkToFit="1"/>
    </xf>
    <xf numFmtId="0" fontId="49" fillId="0" borderId="8" xfId="0" applyFont="1" applyFill="1" applyBorder="1" applyAlignment="1" applyProtection="1">
      <alignment horizontal="center" vertical="center" shrinkToFit="1"/>
    </xf>
    <xf numFmtId="0" fontId="42" fillId="0" borderId="33" xfId="0" applyFont="1" applyBorder="1" applyAlignment="1" applyProtection="1">
      <alignment horizontal="distributed" vertical="center" justifyLastLine="1" shrinkToFit="1"/>
    </xf>
    <xf numFmtId="0" fontId="42" fillId="0" borderId="34" xfId="0" applyFont="1" applyBorder="1" applyAlignment="1" applyProtection="1">
      <alignment horizontal="distributed" vertical="center" justifyLastLine="1" shrinkToFit="1"/>
    </xf>
    <xf numFmtId="0" fontId="42" fillId="0" borderId="35" xfId="0" applyFont="1" applyBorder="1" applyAlignment="1" applyProtection="1">
      <alignment horizontal="distributed" vertical="center" justifyLastLine="1" shrinkToFit="1"/>
    </xf>
    <xf numFmtId="0" fontId="49" fillId="0" borderId="36" xfId="0" applyFont="1" applyBorder="1" applyAlignment="1" applyProtection="1">
      <alignment horizontal="distributed" vertical="center" justifyLastLine="1" shrinkToFit="1"/>
    </xf>
    <xf numFmtId="0" fontId="49" fillId="0" borderId="37" xfId="0" applyFont="1" applyBorder="1" applyAlignment="1" applyProtection="1">
      <alignment horizontal="distributed" vertical="center" justifyLastLine="1" shrinkToFit="1"/>
    </xf>
    <xf numFmtId="0" fontId="49" fillId="0" borderId="38" xfId="0" applyFont="1" applyBorder="1" applyAlignment="1" applyProtection="1">
      <alignment horizontal="distributed" vertical="center" justifyLastLine="1" shrinkToFit="1"/>
    </xf>
    <xf numFmtId="0" fontId="46" fillId="0" borderId="4" xfId="0" applyFont="1" applyFill="1" applyBorder="1" applyAlignment="1" applyProtection="1">
      <alignment horizontal="center" vertical="center"/>
    </xf>
    <xf numFmtId="0" fontId="46" fillId="0" borderId="16" xfId="0" applyFont="1" applyBorder="1" applyAlignment="1" applyProtection="1">
      <alignment horizontal="center" vertical="center"/>
    </xf>
    <xf numFmtId="0" fontId="44" fillId="0" borderId="28" xfId="0" applyFont="1" applyBorder="1" applyAlignment="1" applyProtection="1">
      <alignment horizontal="distributed" vertical="center" indent="6"/>
    </xf>
    <xf numFmtId="0" fontId="44" fillId="0" borderId="27" xfId="0" applyFont="1" applyBorder="1" applyAlignment="1" applyProtection="1">
      <alignment horizontal="distributed" vertical="center" indent="6"/>
    </xf>
    <xf numFmtId="0" fontId="32" fillId="0" borderId="14" xfId="0" applyFont="1" applyBorder="1" applyAlignment="1" applyProtection="1">
      <alignment horizontal="center" vertical="center" shrinkToFit="1"/>
    </xf>
    <xf numFmtId="0" fontId="44" fillId="0" borderId="4" xfId="0" applyFont="1" applyBorder="1" applyAlignment="1" applyProtection="1">
      <alignment vertical="center"/>
    </xf>
    <xf numFmtId="0" fontId="46" fillId="0" borderId="42" xfId="0" applyFont="1" applyBorder="1" applyAlignment="1" applyProtection="1">
      <alignment horizontal="center" vertical="center"/>
    </xf>
    <xf numFmtId="0" fontId="46" fillId="0" borderId="4" xfId="0" applyFont="1" applyBorder="1" applyAlignment="1" applyProtection="1">
      <alignment horizontal="center" vertical="center"/>
    </xf>
    <xf numFmtId="0" fontId="46" fillId="0" borderId="33" xfId="0" applyFont="1" applyFill="1" applyBorder="1" applyAlignment="1" applyProtection="1">
      <alignment horizontal="distributed" vertical="center" justifyLastLine="1" shrinkToFit="1"/>
    </xf>
    <xf numFmtId="0" fontId="46" fillId="0" borderId="35" xfId="0" applyFont="1" applyFill="1" applyBorder="1" applyAlignment="1" applyProtection="1">
      <alignment horizontal="distributed" vertical="center" justifyLastLine="1" shrinkToFit="1"/>
    </xf>
    <xf numFmtId="0" fontId="45" fillId="0" borderId="14" xfId="0" applyFont="1" applyBorder="1" applyAlignment="1" applyProtection="1">
      <alignment horizontal="center" vertical="center" shrinkToFit="1"/>
    </xf>
    <xf numFmtId="0" fontId="45" fillId="0" borderId="4" xfId="0" applyFont="1" applyBorder="1" applyAlignment="1" applyProtection="1">
      <alignment horizontal="center" vertical="center" shrinkToFit="1"/>
    </xf>
    <xf numFmtId="0" fontId="47" fillId="2" borderId="0" xfId="0" applyFont="1" applyFill="1" applyAlignment="1" applyProtection="1">
      <alignment horizontal="distributed" vertical="center" justifyLastLine="1"/>
    </xf>
    <xf numFmtId="0" fontId="46" fillId="0" borderId="24" xfId="0" applyFont="1" applyFill="1" applyBorder="1" applyAlignment="1" applyProtection="1">
      <alignment horizontal="center" vertical="center" wrapText="1"/>
    </xf>
    <xf numFmtId="0" fontId="44" fillId="0" borderId="40" xfId="0" applyFont="1" applyBorder="1" applyAlignment="1" applyProtection="1">
      <alignment horizontal="center" vertical="center"/>
    </xf>
    <xf numFmtId="0" fontId="46" fillId="0" borderId="5" xfId="0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horizontal="center" vertical="center"/>
    </xf>
    <xf numFmtId="0" fontId="44" fillId="0" borderId="16" xfId="0" applyFont="1" applyBorder="1" applyAlignment="1" applyProtection="1">
      <alignment horizontal="center" vertical="center"/>
    </xf>
    <xf numFmtId="0" fontId="49" fillId="0" borderId="40" xfId="0" applyFont="1" applyBorder="1" applyAlignment="1" applyProtection="1">
      <alignment horizontal="center" vertical="center" shrinkToFit="1"/>
    </xf>
    <xf numFmtId="0" fontId="49" fillId="0" borderId="17" xfId="0" applyFont="1" applyBorder="1" applyAlignment="1" applyProtection="1">
      <alignment horizontal="center" vertical="center" shrinkToFit="1"/>
    </xf>
    <xf numFmtId="0" fontId="51" fillId="0" borderId="16" xfId="0" applyFont="1" applyBorder="1" applyAlignment="1" applyProtection="1">
      <alignment horizontal="center" vertical="center" wrapText="1"/>
    </xf>
    <xf numFmtId="0" fontId="51" fillId="0" borderId="26" xfId="0" applyFont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9" fillId="0" borderId="7" xfId="0" applyFont="1" applyBorder="1" applyAlignment="1" applyProtection="1">
      <alignment horizontal="center" vertical="center" justifyLastLine="1" shrinkToFit="1"/>
    </xf>
    <xf numFmtId="0" fontId="49" fillId="0" borderId="1" xfId="0" applyFont="1" applyBorder="1" applyAlignment="1" applyProtection="1">
      <alignment horizontal="center" vertical="center" justifyLastLine="1" shrinkToFit="1"/>
    </xf>
    <xf numFmtId="0" fontId="49" fillId="0" borderId="8" xfId="0" applyFont="1" applyBorder="1" applyAlignment="1" applyProtection="1">
      <alignment horizontal="center" vertical="center" justifyLastLine="1" shrinkToFit="1"/>
    </xf>
    <xf numFmtId="0" fontId="43" fillId="0" borderId="7" xfId="0" applyFont="1" applyBorder="1" applyAlignment="1" applyProtection="1">
      <alignment horizontal="distributed" vertical="center" justifyLastLine="1"/>
    </xf>
    <xf numFmtId="0" fontId="43" fillId="0" borderId="1" xfId="0" applyFont="1" applyBorder="1" applyAlignment="1" applyProtection="1">
      <alignment horizontal="distributed" vertical="center" justifyLastLine="1"/>
    </xf>
    <xf numFmtId="0" fontId="47" fillId="9" borderId="0" xfId="0" applyFont="1" applyFill="1" applyAlignment="1" applyProtection="1">
      <alignment horizontal="distributed" vertical="center" justifyLastLine="1"/>
    </xf>
  </cellXfs>
  <cellStyles count="20">
    <cellStyle name="桁区切り 2" xfId="8"/>
    <cellStyle name="桁区切り 3" xfId="9"/>
    <cellStyle name="標準" xfId="0" builtinId="0"/>
    <cellStyle name="標準 2" xfId="7"/>
    <cellStyle name="標準 2 2" xfId="10"/>
    <cellStyle name="標準 2 2 2" xfId="11"/>
    <cellStyle name="標準 3" xfId="12"/>
    <cellStyle name="標準 3 2" xfId="13"/>
    <cellStyle name="標準 4" xfId="14"/>
    <cellStyle name="標準 5" xfId="15"/>
    <cellStyle name="標準 6" xfId="16"/>
    <cellStyle name="標準 7" xfId="17"/>
    <cellStyle name="標準 8" xfId="18"/>
    <cellStyle name="標準 9" xfId="19"/>
    <cellStyle name="標準_20_市中体連ﾏｽﾀｰ" xfId="1"/>
    <cellStyle name="標準_22_市中体連ﾏｽﾀｰ" xfId="2"/>
    <cellStyle name="標準_22_部員名簿ﾏｽﾀｰ" xfId="3"/>
    <cellStyle name="標準_選手名簿 2" xfId="4"/>
    <cellStyle name="標準_団体試合記録(ひな型)" xfId="5"/>
    <cellStyle name="標準_役員ﾏｽﾀｰ" xfId="6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0000FF"/>
      <color rgb="FFFFFFCC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571501</xdr:colOff>
      <xdr:row>148</xdr:row>
      <xdr:rowOff>76199</xdr:rowOff>
    </xdr:from>
    <xdr:to>
      <xdr:col>16</xdr:col>
      <xdr:colOff>280825</xdr:colOff>
      <xdr:row>172</xdr:row>
      <xdr:rowOff>28574</xdr:rowOff>
    </xdr:to>
    <xdr:pic>
      <xdr:nvPicPr>
        <xdr:cNvPr id="62" name="図 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1" y="28003499"/>
          <a:ext cx="8281824" cy="406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9</xdr:row>
      <xdr:rowOff>45278</xdr:rowOff>
    </xdr:from>
    <xdr:to>
      <xdr:col>16</xdr:col>
      <xdr:colOff>400050</xdr:colOff>
      <xdr:row>14</xdr:row>
      <xdr:rowOff>66529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3760028"/>
          <a:ext cx="11591925" cy="878501"/>
        </a:xfrm>
        <a:prstGeom prst="rect">
          <a:avLst/>
        </a:prstGeom>
      </xdr:spPr>
    </xdr:pic>
    <xdr:clientData/>
  </xdr:twoCellAnchor>
  <xdr:twoCellAnchor>
    <xdr:from>
      <xdr:col>5</xdr:col>
      <xdr:colOff>47625</xdr:colOff>
      <xdr:row>172</xdr:row>
      <xdr:rowOff>19050</xdr:rowOff>
    </xdr:from>
    <xdr:to>
      <xdr:col>12</xdr:col>
      <xdr:colOff>28575</xdr:colOff>
      <xdr:row>177</xdr:row>
      <xdr:rowOff>0</xdr:rowOff>
    </xdr:to>
    <xdr:sp macro="" textlink="">
      <xdr:nvSpPr>
        <xdr:cNvPr id="10" name="AutoShape 20"/>
        <xdr:cNvSpPr>
          <a:spLocks noChangeArrowheads="1"/>
        </xdr:cNvSpPr>
      </xdr:nvSpPr>
      <xdr:spPr bwMode="auto">
        <a:xfrm>
          <a:off x="3448050" y="32061150"/>
          <a:ext cx="4981575" cy="838200"/>
        </a:xfrm>
        <a:prstGeom prst="downArrow">
          <a:avLst>
            <a:gd name="adj1" fmla="val 50000"/>
            <a:gd name="adj2" fmla="val 25000"/>
          </a:avLst>
        </a:prstGeom>
        <a:solidFill>
          <a:srgbClr val="FFFF00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FF0000"/>
              </a:solidFill>
              <a:latin typeface="HG創英丸ﾎﾟｯﾌﾟ体"/>
            </a:rPr>
            <a:t>反映する！</a:t>
          </a:r>
        </a:p>
      </xdr:txBody>
    </xdr:sp>
    <xdr:clientData/>
  </xdr:twoCellAnchor>
  <xdr:twoCellAnchor>
    <xdr:from>
      <xdr:col>0</xdr:col>
      <xdr:colOff>66675</xdr:colOff>
      <xdr:row>88</xdr:row>
      <xdr:rowOff>47624</xdr:rowOff>
    </xdr:from>
    <xdr:to>
      <xdr:col>16</xdr:col>
      <xdr:colOff>457201</xdr:colOff>
      <xdr:row>115</xdr:row>
      <xdr:rowOff>142875</xdr:rowOff>
    </xdr:to>
    <xdr:grpSp>
      <xdr:nvGrpSpPr>
        <xdr:cNvPr id="52" name="グループ化 51"/>
        <xdr:cNvGrpSpPr/>
      </xdr:nvGrpSpPr>
      <xdr:grpSpPr>
        <a:xfrm>
          <a:off x="66675" y="17497424"/>
          <a:ext cx="11649076" cy="4724401"/>
          <a:chOff x="66675" y="17497424"/>
          <a:chExt cx="11649076" cy="4724401"/>
        </a:xfrm>
      </xdr:grpSpPr>
      <xdr:pic>
        <xdr:nvPicPr>
          <xdr:cNvPr id="27" name="図 26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6675" y="17497424"/>
            <a:ext cx="11649076" cy="4724401"/>
          </a:xfrm>
          <a:prstGeom prst="rect">
            <a:avLst/>
          </a:prstGeom>
        </xdr:spPr>
      </xdr:pic>
      <xdr:sp macro="" textlink="">
        <xdr:nvSpPr>
          <xdr:cNvPr id="28" name="AutoShape 22"/>
          <xdr:cNvSpPr>
            <a:spLocks noChangeArrowheads="1"/>
          </xdr:cNvSpPr>
        </xdr:nvSpPr>
        <xdr:spPr bwMode="auto">
          <a:xfrm>
            <a:off x="7874500" y="20774025"/>
            <a:ext cx="3691271" cy="990600"/>
          </a:xfrm>
          <a:prstGeom prst="wedgeRoundRectCallout">
            <a:avLst>
              <a:gd name="adj1" fmla="val -53994"/>
              <a:gd name="adj2" fmla="val -112500"/>
              <a:gd name="adj3" fmla="val 16667"/>
            </a:avLst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45720" tIns="22860" rIns="0" bIns="22860" anchor="ctr" upright="1"/>
          <a:lstStyle/>
          <a:p>
            <a:pPr algn="l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学年・段位・体重については大会ごとに変更があれば訂正してください！</a:t>
            </a:r>
          </a:p>
        </xdr:txBody>
      </xdr:sp>
      <xdr:sp macro="" textlink="">
        <xdr:nvSpPr>
          <xdr:cNvPr id="29" name="AutoShape 23"/>
          <xdr:cNvSpPr>
            <a:spLocks noChangeArrowheads="1"/>
          </xdr:cNvSpPr>
        </xdr:nvSpPr>
        <xdr:spPr bwMode="auto">
          <a:xfrm flipV="1">
            <a:off x="2973723" y="18415635"/>
            <a:ext cx="3546967" cy="857250"/>
          </a:xfrm>
          <a:prstGeom prst="wedgeRoundRectCallout">
            <a:avLst>
              <a:gd name="adj1" fmla="val -71494"/>
              <a:gd name="adj2" fmla="val -135555"/>
              <a:gd name="adj3" fmla="val 16667"/>
            </a:avLst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45720" tIns="22860" rIns="0" bIns="22860" anchor="ctr" upright="1"/>
          <a:lstStyle/>
          <a:p>
            <a:pPr algn="l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苗字と名前を分けて入力してください！</a:t>
            </a:r>
            <a:endPara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  <a:p>
            <a:pPr algn="l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プログラムで必要になるので、ふりがなも同様に入力してください！</a:t>
            </a:r>
          </a:p>
        </xdr:txBody>
      </xdr:sp>
      <xdr:sp macro="" textlink="">
        <xdr:nvSpPr>
          <xdr:cNvPr id="30" name="AutoShape 23"/>
          <xdr:cNvSpPr>
            <a:spLocks noChangeArrowheads="1"/>
          </xdr:cNvSpPr>
        </xdr:nvSpPr>
        <xdr:spPr bwMode="auto">
          <a:xfrm flipV="1">
            <a:off x="3533866" y="20558760"/>
            <a:ext cx="2039300" cy="501015"/>
          </a:xfrm>
          <a:prstGeom prst="wedgeRoundRectCallout">
            <a:avLst>
              <a:gd name="adj1" fmla="val 49629"/>
              <a:gd name="adj2" fmla="val 132197"/>
              <a:gd name="adj3" fmla="val 16667"/>
            </a:avLst>
          </a:prstGeom>
          <a:solidFill>
            <a:srgbClr val="FF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45720" tIns="22860" rIns="0" bIns="22860" anchor="ctr" upright="1"/>
          <a:lstStyle/>
          <a:p>
            <a:pPr algn="ctr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chemeClr val="bg1"/>
                </a:solidFill>
                <a:latin typeface="HG丸ｺﾞｼｯｸM-PRO"/>
                <a:ea typeface="HG丸ｺﾞｼｯｸM-PRO"/>
              </a:rPr>
              <a:t>自動作成されます！</a:t>
            </a:r>
          </a:p>
        </xdr:txBody>
      </xdr:sp>
    </xdr:grpSp>
    <xdr:clientData/>
  </xdr:twoCellAnchor>
  <xdr:twoCellAnchor>
    <xdr:from>
      <xdr:col>0</xdr:col>
      <xdr:colOff>85725</xdr:colOff>
      <xdr:row>12</xdr:row>
      <xdr:rowOff>142876</xdr:rowOff>
    </xdr:from>
    <xdr:to>
      <xdr:col>16</xdr:col>
      <xdr:colOff>381879</xdr:colOff>
      <xdr:row>47</xdr:row>
      <xdr:rowOff>66675</xdr:rowOff>
    </xdr:to>
    <xdr:grpSp>
      <xdr:nvGrpSpPr>
        <xdr:cNvPr id="42" name="グループ化 41"/>
        <xdr:cNvGrpSpPr/>
      </xdr:nvGrpSpPr>
      <xdr:grpSpPr>
        <a:xfrm>
          <a:off x="85725" y="4371976"/>
          <a:ext cx="11554704" cy="5924549"/>
          <a:chOff x="85725" y="4371976"/>
          <a:chExt cx="11554704" cy="5924549"/>
        </a:xfrm>
      </xdr:grpSpPr>
      <xdr:grpSp>
        <xdr:nvGrpSpPr>
          <xdr:cNvPr id="41" name="グループ化 40"/>
          <xdr:cNvGrpSpPr/>
        </xdr:nvGrpSpPr>
        <xdr:grpSpPr>
          <a:xfrm>
            <a:off x="85725" y="4371976"/>
            <a:ext cx="11554704" cy="5924549"/>
            <a:chOff x="85725" y="4371976"/>
            <a:chExt cx="11554704" cy="5924549"/>
          </a:xfrm>
        </xdr:grpSpPr>
        <xdr:pic>
          <xdr:nvPicPr>
            <xdr:cNvPr id="32" name="図 31"/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47465" y="5041607"/>
              <a:ext cx="10392964" cy="4635793"/>
            </a:xfrm>
            <a:prstGeom prst="rect">
              <a:avLst/>
            </a:prstGeom>
          </xdr:spPr>
        </xdr:pic>
        <xdr:sp macro="" textlink="">
          <xdr:nvSpPr>
            <xdr:cNvPr id="20" name="AutoShape 9"/>
            <xdr:cNvSpPr>
              <a:spLocks noChangeArrowheads="1"/>
            </xdr:cNvSpPr>
          </xdr:nvSpPr>
          <xdr:spPr bwMode="auto">
            <a:xfrm>
              <a:off x="3533776" y="4371976"/>
              <a:ext cx="3333750" cy="628650"/>
            </a:xfrm>
            <a:prstGeom prst="wedgeRoundRectCallout">
              <a:avLst>
                <a:gd name="adj1" fmla="val -85202"/>
                <a:gd name="adj2" fmla="val 75804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年度の数字を入力すると</a:t>
              </a:r>
              <a:r>
                <a:rPr lang="en-US" altLang="ja-JP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…</a:t>
              </a:r>
            </a:p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大会の開催回数が繰り上がります！</a:t>
              </a:r>
            </a:p>
          </xdr:txBody>
        </xdr:sp>
        <xdr:sp macro="" textlink="">
          <xdr:nvSpPr>
            <xdr:cNvPr id="21" name="AutoShape 10"/>
            <xdr:cNvSpPr>
              <a:spLocks noChangeArrowheads="1"/>
            </xdr:cNvSpPr>
          </xdr:nvSpPr>
          <xdr:spPr bwMode="auto">
            <a:xfrm>
              <a:off x="85725" y="4571999"/>
              <a:ext cx="1266825" cy="2105026"/>
            </a:xfrm>
            <a:prstGeom prst="wedgeRoundRectCallout">
              <a:avLst>
                <a:gd name="adj1" fmla="val 86410"/>
                <a:gd name="adj2" fmla="val 30030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t" upright="1"/>
            <a:lstStyle/>
            <a:p>
              <a:pPr algn="l" rtl="0">
                <a:lnSpc>
                  <a:spcPts val="1500"/>
                </a:lnSpc>
                <a:defRPr sz="1000"/>
              </a:pPr>
              <a:r>
                <a:rPr lang="en-US" altLang="ja-JP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27</a:t>
              </a: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年度に東北大会に参加した学校は「学校ﾏｽﾀｰ」にＩＤ登録してあるので、その番号を入力する！</a:t>
              </a:r>
              <a:endParaRPr lang="en-US" altLang="ja-JP"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endParaRPr>
            </a:p>
          </xdr:txBody>
        </xdr:sp>
        <xdr:sp macro="" textlink="">
          <xdr:nvSpPr>
            <xdr:cNvPr id="23" name="AutoShape 14"/>
            <xdr:cNvSpPr>
              <a:spLocks noChangeArrowheads="1"/>
            </xdr:cNvSpPr>
          </xdr:nvSpPr>
          <xdr:spPr bwMode="auto">
            <a:xfrm>
              <a:off x="3448050" y="9458325"/>
              <a:ext cx="4981575" cy="838200"/>
            </a:xfrm>
            <a:prstGeom prst="downArrow">
              <a:avLst>
                <a:gd name="adj1" fmla="val 50000"/>
                <a:gd name="adj2" fmla="val 25000"/>
              </a:avLst>
            </a:prstGeom>
            <a:solidFill>
              <a:srgbClr val="FFFF00"/>
            </a:solidFill>
            <a:ln w="2857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54864" tIns="32004" rIns="54864" bIns="32004" anchor="ctr" upright="1"/>
            <a:lstStyle/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FF0000"/>
                  </a:solidFill>
                  <a:latin typeface="HG創英丸ﾎﾟｯﾌﾟ体"/>
                </a:rPr>
                <a:t>反映する！</a:t>
              </a:r>
            </a:p>
          </xdr:txBody>
        </xdr:sp>
        <xdr:sp macro="" textlink="">
          <xdr:nvSpPr>
            <xdr:cNvPr id="24" name="AutoShape 9"/>
            <xdr:cNvSpPr>
              <a:spLocks noChangeArrowheads="1"/>
            </xdr:cNvSpPr>
          </xdr:nvSpPr>
          <xdr:spPr bwMode="auto">
            <a:xfrm>
              <a:off x="5448301" y="5305425"/>
              <a:ext cx="2219324" cy="428626"/>
            </a:xfrm>
            <a:prstGeom prst="wedgeRoundRectCallout">
              <a:avLst>
                <a:gd name="adj1" fmla="val -76557"/>
                <a:gd name="adj2" fmla="val 105789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ctr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ふりがなを入力する！</a:t>
              </a:r>
            </a:p>
          </xdr:txBody>
        </xdr:sp>
        <xdr:sp macro="" textlink="">
          <xdr:nvSpPr>
            <xdr:cNvPr id="33" name="AutoShape 9"/>
            <xdr:cNvSpPr>
              <a:spLocks noChangeArrowheads="1"/>
            </xdr:cNvSpPr>
          </xdr:nvSpPr>
          <xdr:spPr bwMode="auto">
            <a:xfrm>
              <a:off x="95251" y="7077075"/>
              <a:ext cx="1095374" cy="1209676"/>
            </a:xfrm>
            <a:prstGeom prst="wedgeRoundRectCallout">
              <a:avLst>
                <a:gd name="adj1" fmla="val 119882"/>
                <a:gd name="adj2" fmla="val -75926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下表の都道府県番号を入力する！</a:t>
              </a:r>
            </a:p>
          </xdr:txBody>
        </xdr:sp>
        <xdr:sp macro="" textlink="">
          <xdr:nvSpPr>
            <xdr:cNvPr id="34" name="AutoShape 9"/>
            <xdr:cNvSpPr>
              <a:spLocks noChangeArrowheads="1"/>
            </xdr:cNvSpPr>
          </xdr:nvSpPr>
          <xdr:spPr bwMode="auto">
            <a:xfrm>
              <a:off x="6181726" y="5848350"/>
              <a:ext cx="2219324" cy="428626"/>
            </a:xfrm>
            <a:prstGeom prst="wedgeRoundRectCallout">
              <a:avLst>
                <a:gd name="adj1" fmla="val -134926"/>
                <a:gd name="adj2" fmla="val 101345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ctr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学校長名を入力する！</a:t>
              </a:r>
            </a:p>
          </xdr:txBody>
        </xdr:sp>
        <xdr:sp macro="" textlink="">
          <xdr:nvSpPr>
            <xdr:cNvPr id="35" name="AutoShape 9"/>
            <xdr:cNvSpPr>
              <a:spLocks noChangeArrowheads="1"/>
            </xdr:cNvSpPr>
          </xdr:nvSpPr>
          <xdr:spPr bwMode="auto">
            <a:xfrm>
              <a:off x="5934075" y="6915150"/>
              <a:ext cx="3067050" cy="428626"/>
            </a:xfrm>
            <a:prstGeom prst="wedgeRoundRectCallout">
              <a:avLst>
                <a:gd name="adj1" fmla="val -96518"/>
                <a:gd name="adj2" fmla="val 203567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ctr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監督氏名等必要事項を入力する！</a:t>
              </a:r>
            </a:p>
          </xdr:txBody>
        </xdr:sp>
        <xdr:sp macro="" textlink="">
          <xdr:nvSpPr>
            <xdr:cNvPr id="37" name="AutoShape 9"/>
            <xdr:cNvSpPr>
              <a:spLocks noChangeArrowheads="1"/>
            </xdr:cNvSpPr>
          </xdr:nvSpPr>
          <xdr:spPr bwMode="auto">
            <a:xfrm>
              <a:off x="5686425" y="8820151"/>
              <a:ext cx="2886075" cy="552450"/>
            </a:xfrm>
            <a:prstGeom prst="wedgeRoundRectCallout">
              <a:avLst>
                <a:gd name="adj1" fmla="val 71044"/>
                <a:gd name="adj2" fmla="val -96213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職名・コーチ区分リストから数字を選び入力する！</a:t>
              </a:r>
            </a:p>
          </xdr:txBody>
        </xdr:sp>
      </xdr:grpSp>
      <xdr:sp macro="" textlink="">
        <xdr:nvSpPr>
          <xdr:cNvPr id="40" name="AutoShape 9"/>
          <xdr:cNvSpPr>
            <a:spLocks noChangeArrowheads="1"/>
          </xdr:cNvSpPr>
        </xdr:nvSpPr>
        <xdr:spPr bwMode="auto">
          <a:xfrm>
            <a:off x="5972175" y="6400800"/>
            <a:ext cx="2590800" cy="428626"/>
          </a:xfrm>
          <a:prstGeom prst="wedgeRoundRectCallout">
            <a:avLst>
              <a:gd name="adj1" fmla="val -106145"/>
              <a:gd name="adj2" fmla="val 72456"/>
              <a:gd name="adj3" fmla="val 16667"/>
            </a:avLst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45720" tIns="22860" rIns="0" bIns="22860" anchor="ctr" upright="1"/>
          <a:lstStyle/>
          <a:p>
            <a:pPr algn="ctr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「学校ﾏｽﾀｰ」からリンク！</a:t>
            </a:r>
          </a:p>
        </xdr:txBody>
      </xdr:sp>
    </xdr:grpSp>
    <xdr:clientData/>
  </xdr:twoCellAnchor>
  <xdr:twoCellAnchor editAs="oneCell">
    <xdr:from>
      <xdr:col>0</xdr:col>
      <xdr:colOff>0</xdr:colOff>
      <xdr:row>47</xdr:row>
      <xdr:rowOff>95251</xdr:rowOff>
    </xdr:from>
    <xdr:to>
      <xdr:col>9</xdr:col>
      <xdr:colOff>476250</xdr:colOff>
      <xdr:row>65</xdr:row>
      <xdr:rowOff>102769</xdr:rowOff>
    </xdr:to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0325101"/>
          <a:ext cx="6734175" cy="3093618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54</xdr:row>
      <xdr:rowOff>47626</xdr:rowOff>
    </xdr:from>
    <xdr:to>
      <xdr:col>16</xdr:col>
      <xdr:colOff>113374</xdr:colOff>
      <xdr:row>70</xdr:row>
      <xdr:rowOff>118483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29300" y="11477626"/>
          <a:ext cx="5542624" cy="2814057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647701</xdr:colOff>
      <xdr:row>66</xdr:row>
      <xdr:rowOff>104775</xdr:rowOff>
    </xdr:from>
    <xdr:to>
      <xdr:col>10</xdr:col>
      <xdr:colOff>555612</xdr:colOff>
      <xdr:row>83</xdr:row>
      <xdr:rowOff>104775</xdr:rowOff>
    </xdr:to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19376" y="13592175"/>
          <a:ext cx="4908536" cy="291465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79</xdr:row>
      <xdr:rowOff>19050</xdr:rowOff>
    </xdr:from>
    <xdr:to>
      <xdr:col>3</xdr:col>
      <xdr:colOff>439100</xdr:colOff>
      <xdr:row>82</xdr:row>
      <xdr:rowOff>5715</xdr:rowOff>
    </xdr:to>
    <xdr:sp macro="" textlink="">
      <xdr:nvSpPr>
        <xdr:cNvPr id="31" name="AutoShape 23"/>
        <xdr:cNvSpPr>
          <a:spLocks noChangeArrowheads="1"/>
        </xdr:cNvSpPr>
      </xdr:nvSpPr>
      <xdr:spPr bwMode="auto">
        <a:xfrm flipV="1">
          <a:off x="371475" y="15735300"/>
          <a:ext cx="2039300" cy="501015"/>
        </a:xfrm>
        <a:prstGeom prst="wedgeRoundRectCallout">
          <a:avLst>
            <a:gd name="adj1" fmla="val 129031"/>
            <a:gd name="adj2" fmla="val 141703"/>
            <a:gd name="adj3" fmla="val 16667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自動作成されます！</a:t>
          </a:r>
        </a:p>
      </xdr:txBody>
    </xdr:sp>
    <xdr:clientData/>
  </xdr:twoCellAnchor>
  <xdr:twoCellAnchor>
    <xdr:from>
      <xdr:col>0</xdr:col>
      <xdr:colOff>390525</xdr:colOff>
      <xdr:row>44</xdr:row>
      <xdr:rowOff>114300</xdr:rowOff>
    </xdr:from>
    <xdr:to>
      <xdr:col>4</xdr:col>
      <xdr:colOff>571500</xdr:colOff>
      <xdr:row>47</xdr:row>
      <xdr:rowOff>152400</xdr:rowOff>
    </xdr:to>
    <xdr:sp macro="" textlink="">
      <xdr:nvSpPr>
        <xdr:cNvPr id="46" name="円/楕円 45"/>
        <xdr:cNvSpPr/>
      </xdr:nvSpPr>
      <xdr:spPr>
        <a:xfrm>
          <a:off x="390525" y="9829800"/>
          <a:ext cx="2867025" cy="552450"/>
        </a:xfrm>
        <a:prstGeom prst="ellipse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入力ﾌｫｰﾑ！</a:t>
          </a:r>
        </a:p>
      </xdr:txBody>
    </xdr:sp>
    <xdr:clientData/>
  </xdr:twoCellAnchor>
  <xdr:twoCellAnchor>
    <xdr:from>
      <xdr:col>1</xdr:col>
      <xdr:colOff>352425</xdr:colOff>
      <xdr:row>66</xdr:row>
      <xdr:rowOff>19050</xdr:rowOff>
    </xdr:from>
    <xdr:to>
      <xdr:col>7</xdr:col>
      <xdr:colOff>104775</xdr:colOff>
      <xdr:row>69</xdr:row>
      <xdr:rowOff>57150</xdr:rowOff>
    </xdr:to>
    <xdr:sp macro="" textlink="">
      <xdr:nvSpPr>
        <xdr:cNvPr id="47" name="円/楕円 46"/>
        <xdr:cNvSpPr/>
      </xdr:nvSpPr>
      <xdr:spPr>
        <a:xfrm>
          <a:off x="895350" y="13506450"/>
          <a:ext cx="4038600" cy="552450"/>
        </a:xfrm>
        <a:prstGeom prst="ellipse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各団体・個人申込書！</a:t>
          </a:r>
        </a:p>
      </xdr:txBody>
    </xdr:sp>
    <xdr:clientData/>
  </xdr:twoCellAnchor>
  <xdr:twoCellAnchor>
    <xdr:from>
      <xdr:col>11</xdr:col>
      <xdr:colOff>228600</xdr:colOff>
      <xdr:row>52</xdr:row>
      <xdr:rowOff>9525</xdr:rowOff>
    </xdr:from>
    <xdr:to>
      <xdr:col>15</xdr:col>
      <xdr:colOff>657225</xdr:colOff>
      <xdr:row>55</xdr:row>
      <xdr:rowOff>47625</xdr:rowOff>
    </xdr:to>
    <xdr:sp macro="" textlink="">
      <xdr:nvSpPr>
        <xdr:cNvPr id="48" name="円/楕円 47"/>
        <xdr:cNvSpPr/>
      </xdr:nvSpPr>
      <xdr:spPr>
        <a:xfrm>
          <a:off x="7915275" y="11096625"/>
          <a:ext cx="3286125" cy="552450"/>
        </a:xfrm>
        <a:prstGeom prst="ellipse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参加料納付書！</a:t>
          </a:r>
        </a:p>
      </xdr:txBody>
    </xdr:sp>
    <xdr:clientData/>
  </xdr:twoCellAnchor>
  <xdr:twoCellAnchor editAs="oneCell">
    <xdr:from>
      <xdr:col>2</xdr:col>
      <xdr:colOff>95251</xdr:colOff>
      <xdr:row>121</xdr:row>
      <xdr:rowOff>1</xdr:rowOff>
    </xdr:from>
    <xdr:to>
      <xdr:col>10</xdr:col>
      <xdr:colOff>171451</xdr:colOff>
      <xdr:row>145</xdr:row>
      <xdr:rowOff>104811</xdr:rowOff>
    </xdr:to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52551" y="23298151"/>
          <a:ext cx="5791200" cy="4219610"/>
        </a:xfrm>
        <a:prstGeom prst="rect">
          <a:avLst/>
        </a:prstGeom>
      </xdr:spPr>
    </xdr:pic>
    <xdr:clientData/>
  </xdr:twoCellAnchor>
  <xdr:twoCellAnchor>
    <xdr:from>
      <xdr:col>10</xdr:col>
      <xdr:colOff>540250</xdr:colOff>
      <xdr:row>119</xdr:row>
      <xdr:rowOff>47625</xdr:rowOff>
    </xdr:from>
    <xdr:to>
      <xdr:col>15</xdr:col>
      <xdr:colOff>19050</xdr:colOff>
      <xdr:row>122</xdr:row>
      <xdr:rowOff>47625</xdr:rowOff>
    </xdr:to>
    <xdr:sp macro="" textlink="">
      <xdr:nvSpPr>
        <xdr:cNvPr id="51" name="AutoShape 22"/>
        <xdr:cNvSpPr>
          <a:spLocks noChangeArrowheads="1"/>
        </xdr:cNvSpPr>
      </xdr:nvSpPr>
      <xdr:spPr bwMode="auto">
        <a:xfrm>
          <a:off x="7512550" y="23002875"/>
          <a:ext cx="3050675" cy="514350"/>
        </a:xfrm>
        <a:prstGeom prst="wedgeRoundRectCallout">
          <a:avLst>
            <a:gd name="adj1" fmla="val -82120"/>
            <a:gd name="adj2" fmla="val 108618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宿泊の場合は「○」を入力する！</a:t>
          </a:r>
        </a:p>
      </xdr:txBody>
    </xdr:sp>
    <xdr:clientData/>
  </xdr:twoCellAnchor>
  <xdr:twoCellAnchor>
    <xdr:from>
      <xdr:col>11</xdr:col>
      <xdr:colOff>47626</xdr:colOff>
      <xdr:row>123</xdr:row>
      <xdr:rowOff>19050</xdr:rowOff>
    </xdr:from>
    <xdr:to>
      <xdr:col>15</xdr:col>
      <xdr:colOff>638176</xdr:colOff>
      <xdr:row>126</xdr:row>
      <xdr:rowOff>19050</xdr:rowOff>
    </xdr:to>
    <xdr:sp macro="" textlink="">
      <xdr:nvSpPr>
        <xdr:cNvPr id="57" name="AutoShape 22"/>
        <xdr:cNvSpPr>
          <a:spLocks noChangeArrowheads="1"/>
        </xdr:cNvSpPr>
      </xdr:nvSpPr>
      <xdr:spPr bwMode="auto">
        <a:xfrm>
          <a:off x="7734301" y="23660100"/>
          <a:ext cx="3448050" cy="514350"/>
        </a:xfrm>
        <a:prstGeom prst="wedgeRoundRectCallout">
          <a:avLst>
            <a:gd name="adj1" fmla="val -78599"/>
            <a:gd name="adj2" fmla="val 6602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プログラムの購入冊数を入力する！</a:t>
          </a:r>
        </a:p>
      </xdr:txBody>
    </xdr:sp>
    <xdr:clientData/>
  </xdr:twoCellAnchor>
  <xdr:twoCellAnchor>
    <xdr:from>
      <xdr:col>11</xdr:col>
      <xdr:colOff>178300</xdr:colOff>
      <xdr:row>127</xdr:row>
      <xdr:rowOff>133350</xdr:rowOff>
    </xdr:from>
    <xdr:to>
      <xdr:col>15</xdr:col>
      <xdr:colOff>371475</xdr:colOff>
      <xdr:row>132</xdr:row>
      <xdr:rowOff>152400</xdr:rowOff>
    </xdr:to>
    <xdr:sp macro="" textlink="">
      <xdr:nvSpPr>
        <xdr:cNvPr id="58" name="AutoShape 22"/>
        <xdr:cNvSpPr>
          <a:spLocks noChangeArrowheads="1"/>
        </xdr:cNvSpPr>
      </xdr:nvSpPr>
      <xdr:spPr bwMode="auto">
        <a:xfrm>
          <a:off x="7864975" y="24460200"/>
          <a:ext cx="3050675" cy="876300"/>
        </a:xfrm>
        <a:prstGeom prst="wedgeRoundRectCallout">
          <a:avLst>
            <a:gd name="adj1" fmla="val -175163"/>
            <a:gd name="adj2" fmla="val -1843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出場の場合は「１」を入力！</a:t>
          </a:r>
          <a:endParaRPr lang="en-US" altLang="ja-JP" sz="14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各県大会の「順位」を入力！</a:t>
          </a:r>
        </a:p>
      </xdr:txBody>
    </xdr:sp>
    <xdr:clientData/>
  </xdr:twoCellAnchor>
  <xdr:twoCellAnchor>
    <xdr:from>
      <xdr:col>0</xdr:col>
      <xdr:colOff>76200</xdr:colOff>
      <xdr:row>118</xdr:row>
      <xdr:rowOff>85725</xdr:rowOff>
    </xdr:from>
    <xdr:to>
      <xdr:col>3</xdr:col>
      <xdr:colOff>143825</xdr:colOff>
      <xdr:row>121</xdr:row>
      <xdr:rowOff>72390</xdr:rowOff>
    </xdr:to>
    <xdr:sp macro="" textlink="">
      <xdr:nvSpPr>
        <xdr:cNvPr id="59" name="AutoShape 23"/>
        <xdr:cNvSpPr>
          <a:spLocks noChangeArrowheads="1"/>
        </xdr:cNvSpPr>
      </xdr:nvSpPr>
      <xdr:spPr bwMode="auto">
        <a:xfrm flipV="1">
          <a:off x="76200" y="22869525"/>
          <a:ext cx="2039300" cy="501015"/>
        </a:xfrm>
        <a:prstGeom prst="wedgeRoundRectCallout">
          <a:avLst>
            <a:gd name="adj1" fmla="val 84192"/>
            <a:gd name="adj2" fmla="val -141567"/>
            <a:gd name="adj3" fmla="val 16667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自動作成されます！</a:t>
          </a:r>
        </a:p>
      </xdr:txBody>
    </xdr:sp>
    <xdr:clientData/>
  </xdr:twoCellAnchor>
  <xdr:twoCellAnchor>
    <xdr:from>
      <xdr:col>9</xdr:col>
      <xdr:colOff>438151</xdr:colOff>
      <xdr:row>134</xdr:row>
      <xdr:rowOff>19050</xdr:rowOff>
    </xdr:from>
    <xdr:to>
      <xdr:col>15</xdr:col>
      <xdr:colOff>676275</xdr:colOff>
      <xdr:row>137</xdr:row>
      <xdr:rowOff>19050</xdr:rowOff>
    </xdr:to>
    <xdr:sp macro="" textlink="">
      <xdr:nvSpPr>
        <xdr:cNvPr id="60" name="AutoShape 22"/>
        <xdr:cNvSpPr>
          <a:spLocks noChangeArrowheads="1"/>
        </xdr:cNvSpPr>
      </xdr:nvSpPr>
      <xdr:spPr bwMode="auto">
        <a:xfrm>
          <a:off x="6696076" y="25546050"/>
          <a:ext cx="4524374" cy="514350"/>
        </a:xfrm>
        <a:prstGeom prst="wedgeRoundRectCallout">
          <a:avLst>
            <a:gd name="adj1" fmla="val -122292"/>
            <a:gd name="adj2" fmla="val -1915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監督・コーチの番号を上表から選び入力する！</a:t>
          </a:r>
        </a:p>
      </xdr:txBody>
    </xdr:sp>
    <xdr:clientData/>
  </xdr:twoCellAnchor>
  <xdr:twoCellAnchor>
    <xdr:from>
      <xdr:col>0</xdr:col>
      <xdr:colOff>57150</xdr:colOff>
      <xdr:row>155</xdr:row>
      <xdr:rowOff>19050</xdr:rowOff>
    </xdr:from>
    <xdr:to>
      <xdr:col>5</xdr:col>
      <xdr:colOff>104775</xdr:colOff>
      <xdr:row>158</xdr:row>
      <xdr:rowOff>19050</xdr:rowOff>
    </xdr:to>
    <xdr:sp macro="" textlink="">
      <xdr:nvSpPr>
        <xdr:cNvPr id="61" name="AutoShape 22"/>
        <xdr:cNvSpPr>
          <a:spLocks noChangeArrowheads="1"/>
        </xdr:cNvSpPr>
      </xdr:nvSpPr>
      <xdr:spPr bwMode="auto">
        <a:xfrm>
          <a:off x="57150" y="29146500"/>
          <a:ext cx="3448050" cy="514350"/>
        </a:xfrm>
        <a:prstGeom prst="wedgeRoundRectCallout">
          <a:avLst>
            <a:gd name="adj1" fmla="val 106208"/>
            <a:gd name="adj2" fmla="val -8027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左表から選手番号を選び入力する！</a:t>
          </a:r>
        </a:p>
      </xdr:txBody>
    </xdr:sp>
    <xdr:clientData/>
  </xdr:twoCellAnchor>
  <xdr:twoCellAnchor>
    <xdr:from>
      <xdr:col>0</xdr:col>
      <xdr:colOff>66675</xdr:colOff>
      <xdr:row>165</xdr:row>
      <xdr:rowOff>9525</xdr:rowOff>
    </xdr:from>
    <xdr:to>
      <xdr:col>5</xdr:col>
      <xdr:colOff>114300</xdr:colOff>
      <xdr:row>168</xdr:row>
      <xdr:rowOff>47625</xdr:rowOff>
    </xdr:to>
    <xdr:sp macro="" textlink="">
      <xdr:nvSpPr>
        <xdr:cNvPr id="63" name="AutoShape 22"/>
        <xdr:cNvSpPr>
          <a:spLocks noChangeArrowheads="1"/>
        </xdr:cNvSpPr>
      </xdr:nvSpPr>
      <xdr:spPr bwMode="auto">
        <a:xfrm>
          <a:off x="66675" y="30851475"/>
          <a:ext cx="3448050" cy="552450"/>
        </a:xfrm>
        <a:prstGeom prst="wedgeRoundRectCallout">
          <a:avLst>
            <a:gd name="adj1" fmla="val 113114"/>
            <a:gd name="adj2" fmla="val 8282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例えば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55㎏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級の１位だとすると、</a:t>
          </a:r>
          <a:endParaRPr lang="en-US" altLang="ja-JP" sz="14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「５５１」と入力する！</a:t>
          </a:r>
        </a:p>
      </xdr:txBody>
    </xdr:sp>
    <xdr:clientData/>
  </xdr:twoCellAnchor>
  <xdr:twoCellAnchor>
    <xdr:from>
      <xdr:col>0</xdr:col>
      <xdr:colOff>95250</xdr:colOff>
      <xdr:row>160</xdr:row>
      <xdr:rowOff>47625</xdr:rowOff>
    </xdr:from>
    <xdr:to>
      <xdr:col>5</xdr:col>
      <xdr:colOff>142875</xdr:colOff>
      <xdr:row>163</xdr:row>
      <xdr:rowOff>85725</xdr:rowOff>
    </xdr:to>
    <xdr:sp macro="" textlink="">
      <xdr:nvSpPr>
        <xdr:cNvPr id="64" name="AutoShape 22"/>
        <xdr:cNvSpPr>
          <a:spLocks noChangeArrowheads="1"/>
        </xdr:cNvSpPr>
      </xdr:nvSpPr>
      <xdr:spPr bwMode="auto">
        <a:xfrm>
          <a:off x="95250" y="30032325"/>
          <a:ext cx="3448050" cy="552450"/>
        </a:xfrm>
        <a:prstGeom prst="wedgeRoundRectCallout">
          <a:avLst>
            <a:gd name="adj1" fmla="val 127755"/>
            <a:gd name="adj2" fmla="val 3454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選手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ID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が自動作成される！</a:t>
          </a:r>
        </a:p>
      </xdr:txBody>
    </xdr:sp>
    <xdr:clientData/>
  </xdr:twoCellAnchor>
  <xdr:twoCellAnchor editAs="oneCell">
    <xdr:from>
      <xdr:col>1</xdr:col>
      <xdr:colOff>0</xdr:colOff>
      <xdr:row>181</xdr:row>
      <xdr:rowOff>0</xdr:rowOff>
    </xdr:from>
    <xdr:to>
      <xdr:col>8</xdr:col>
      <xdr:colOff>352425</xdr:colOff>
      <xdr:row>227</xdr:row>
      <xdr:rowOff>11930</xdr:rowOff>
    </xdr:to>
    <xdr:pic>
      <xdr:nvPicPr>
        <xdr:cNvPr id="66" name="図 6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2925" y="33585150"/>
          <a:ext cx="5353050" cy="789863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188</xdr:row>
      <xdr:rowOff>0</xdr:rowOff>
    </xdr:from>
    <xdr:to>
      <xdr:col>16</xdr:col>
      <xdr:colOff>307646</xdr:colOff>
      <xdr:row>230</xdr:row>
      <xdr:rowOff>103836</xdr:rowOff>
    </xdr:to>
    <xdr:pic>
      <xdr:nvPicPr>
        <xdr:cNvPr id="67" name="図 6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715000" y="34785300"/>
          <a:ext cx="5851196" cy="7304736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213</xdr:row>
      <xdr:rowOff>76199</xdr:rowOff>
    </xdr:from>
    <xdr:to>
      <xdr:col>10</xdr:col>
      <xdr:colOff>342900</xdr:colOff>
      <xdr:row>262</xdr:row>
      <xdr:rowOff>26736</xdr:rowOff>
    </xdr:to>
    <xdr:pic>
      <xdr:nvPicPr>
        <xdr:cNvPr id="68" name="図 6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038350" y="39147749"/>
          <a:ext cx="5276850" cy="8351587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234</xdr:row>
      <xdr:rowOff>95250</xdr:rowOff>
    </xdr:from>
    <xdr:to>
      <xdr:col>16</xdr:col>
      <xdr:colOff>352425</xdr:colOff>
      <xdr:row>263</xdr:row>
      <xdr:rowOff>0</xdr:rowOff>
    </xdr:to>
    <xdr:sp macro="" textlink="">
      <xdr:nvSpPr>
        <xdr:cNvPr id="69" name="AutoShape 15"/>
        <xdr:cNvSpPr>
          <a:spLocks noChangeArrowheads="1"/>
        </xdr:cNvSpPr>
      </xdr:nvSpPr>
      <xdr:spPr bwMode="auto">
        <a:xfrm>
          <a:off x="666750" y="42767250"/>
          <a:ext cx="10944225" cy="4876800"/>
        </a:xfrm>
        <a:prstGeom prst="irregularSeal2">
          <a:avLst/>
        </a:prstGeom>
        <a:solidFill>
          <a:srgbClr val="FFFF00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「メインシート」と</a:t>
          </a:r>
          <a:endParaRPr lang="en-US" altLang="ja-JP" sz="2800" b="1" i="1" u="none" strike="noStrike" baseline="0">
            <a:solidFill>
              <a:srgbClr val="0000FF"/>
            </a:solidFill>
            <a:latin typeface="AR Pマーカー体E" panose="020B0600010101010101" pitchFamily="50" charset="-128"/>
            <a:ea typeface="AR Pマーカー体E" panose="020B0600010101010101" pitchFamily="50" charset="-128"/>
          </a:endParaRPr>
        </a:p>
        <a:p>
          <a:pPr algn="ctr" rtl="0">
            <a:defRPr sz="1000"/>
          </a:pPr>
          <a:r>
            <a:rPr lang="ja-JP" altLang="en-US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「入力ﾌｫｰﾑ」、</a:t>
          </a:r>
          <a:endParaRPr lang="en-US" altLang="ja-JP" sz="2800" b="1" i="1" u="none" strike="noStrike" baseline="0">
            <a:solidFill>
              <a:srgbClr val="0000FF"/>
            </a:solidFill>
            <a:latin typeface="AR Pマーカー体E" panose="020B0600010101010101" pitchFamily="50" charset="-128"/>
            <a:ea typeface="AR Pマーカー体E" panose="020B0600010101010101" pitchFamily="50" charset="-128"/>
          </a:endParaRPr>
        </a:p>
        <a:p>
          <a:pPr algn="ctr" rtl="0">
            <a:defRPr sz="1000"/>
          </a:pPr>
          <a:r>
            <a:rPr lang="en-US" altLang="ja-JP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｢</a:t>
          </a:r>
          <a:r>
            <a:rPr lang="ja-JP" altLang="en-US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名簿ﾏｽﾀｰ</a:t>
          </a:r>
          <a:r>
            <a:rPr lang="en-US" altLang="ja-JP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｣</a:t>
          </a:r>
          <a:r>
            <a:rPr lang="ja-JP" altLang="en-US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に</a:t>
          </a:r>
          <a:endParaRPr lang="en-US" altLang="ja-JP" sz="2800" b="1" i="1" u="none" strike="noStrike" baseline="0">
            <a:solidFill>
              <a:srgbClr val="0000FF"/>
            </a:solidFill>
            <a:latin typeface="AR Pマーカー体E" panose="020B0600010101010101" pitchFamily="50" charset="-128"/>
            <a:ea typeface="AR Pマーカー体E" panose="020B0600010101010101" pitchFamily="50" charset="-128"/>
          </a:endParaRPr>
        </a:p>
        <a:p>
          <a:pPr algn="ctr" rtl="0">
            <a:defRPr sz="1000"/>
          </a:pPr>
          <a:r>
            <a:rPr lang="ja-JP" altLang="en-US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必要事項を入力するだけ！</a:t>
          </a:r>
        </a:p>
      </xdr:txBody>
    </xdr:sp>
    <xdr:clientData/>
  </xdr:twoCellAnchor>
  <xdr:twoCellAnchor>
    <xdr:from>
      <xdr:col>8</xdr:col>
      <xdr:colOff>514349</xdr:colOff>
      <xdr:row>144</xdr:row>
      <xdr:rowOff>123825</xdr:rowOff>
    </xdr:from>
    <xdr:to>
      <xdr:col>15</xdr:col>
      <xdr:colOff>171449</xdr:colOff>
      <xdr:row>148</xdr:row>
      <xdr:rowOff>85725</xdr:rowOff>
    </xdr:to>
    <xdr:sp macro="" textlink="">
      <xdr:nvSpPr>
        <xdr:cNvPr id="50" name="AutoShape 22"/>
        <xdr:cNvSpPr>
          <a:spLocks noChangeArrowheads="1"/>
        </xdr:cNvSpPr>
      </xdr:nvSpPr>
      <xdr:spPr bwMode="auto">
        <a:xfrm>
          <a:off x="6057899" y="27365325"/>
          <a:ext cx="4657725" cy="647700"/>
        </a:xfrm>
        <a:prstGeom prst="wedgeRoundRectCallout">
          <a:avLst>
            <a:gd name="adj1" fmla="val 62596"/>
            <a:gd name="adj2" fmla="val 131658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団体または個人戦への重複出場がある場合には</a:t>
          </a:r>
          <a:endParaRPr lang="en-US" altLang="ja-JP" sz="14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ドロップダウンリストから選択して入力する！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32</xdr:row>
      <xdr:rowOff>38099</xdr:rowOff>
    </xdr:from>
    <xdr:to>
      <xdr:col>1</xdr:col>
      <xdr:colOff>942976</xdr:colOff>
      <xdr:row>37</xdr:row>
      <xdr:rowOff>95249</xdr:rowOff>
    </xdr:to>
    <xdr:sp macro="" textlink="">
      <xdr:nvSpPr>
        <xdr:cNvPr id="2" name="四角形吹き出し 1"/>
        <xdr:cNvSpPr/>
      </xdr:nvSpPr>
      <xdr:spPr>
        <a:xfrm>
          <a:off x="295276" y="6438899"/>
          <a:ext cx="1333500" cy="1057275"/>
        </a:xfrm>
        <a:prstGeom prst="wedgeRectCallout">
          <a:avLst>
            <a:gd name="adj1" fmla="val 83031"/>
            <a:gd name="adj2" fmla="val 481"/>
          </a:avLst>
        </a:prstGeom>
        <a:solidFill>
          <a:srgbClr val="FFFFCC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個人戦出場選手の番号を入力する！</a:t>
          </a:r>
        </a:p>
      </xdr:txBody>
    </xdr:sp>
    <xdr:clientData/>
  </xdr:twoCellAnchor>
  <xdr:twoCellAnchor>
    <xdr:from>
      <xdr:col>4</xdr:col>
      <xdr:colOff>323849</xdr:colOff>
      <xdr:row>31</xdr:row>
      <xdr:rowOff>9525</xdr:rowOff>
    </xdr:from>
    <xdr:to>
      <xdr:col>5</xdr:col>
      <xdr:colOff>1590674</xdr:colOff>
      <xdr:row>36</xdr:row>
      <xdr:rowOff>171449</xdr:rowOff>
    </xdr:to>
    <xdr:sp macro="" textlink="">
      <xdr:nvSpPr>
        <xdr:cNvPr id="3" name="四角形吹き出し 2"/>
        <xdr:cNvSpPr/>
      </xdr:nvSpPr>
      <xdr:spPr>
        <a:xfrm>
          <a:off x="4305299" y="6210300"/>
          <a:ext cx="2981325" cy="1162049"/>
        </a:xfrm>
        <a:prstGeom prst="wedgeRectCallout">
          <a:avLst>
            <a:gd name="adj1" fmla="val -84826"/>
            <a:gd name="adj2" fmla="val 5886"/>
          </a:avLst>
        </a:prstGeom>
        <a:solidFill>
          <a:srgbClr val="FFFFCC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順位欄には「階級」＋「順位」を入力する！</a:t>
          </a:r>
          <a:endParaRPr kumimoji="1" lang="en-US" altLang="ja-JP" sz="1600">
            <a:solidFill>
              <a:sysClr val="windowText" lastClr="000000"/>
            </a:solidFill>
            <a:latin typeface="AR Pマーカー体E" panose="020B0600010101010101" pitchFamily="50" charset="-128"/>
            <a:ea typeface="AR Pマーカー体E" panose="020B0600010101010101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例　</a:t>
          </a:r>
          <a:r>
            <a:rPr kumimoji="1" lang="en-US" altLang="ja-JP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73㎏</a:t>
          </a:r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級</a:t>
          </a:r>
          <a:r>
            <a:rPr kumimoji="1" lang="en-US" altLang="ja-JP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1</a:t>
          </a:r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位＝</a:t>
          </a:r>
          <a:r>
            <a:rPr kumimoji="1" lang="en-US" altLang="ja-JP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｢731｣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　　</a:t>
          </a:r>
          <a:r>
            <a:rPr kumimoji="1" lang="en-US" altLang="ja-JP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70㎏</a:t>
          </a:r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超級</a:t>
          </a:r>
          <a:r>
            <a:rPr kumimoji="1" lang="en-US" altLang="ja-JP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2</a:t>
          </a:r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位＝「７１２」</a:t>
          </a:r>
        </a:p>
      </xdr:txBody>
    </xdr:sp>
    <xdr:clientData/>
  </xdr:twoCellAnchor>
  <xdr:twoCellAnchor>
    <xdr:from>
      <xdr:col>1</xdr:col>
      <xdr:colOff>428625</xdr:colOff>
      <xdr:row>28</xdr:row>
      <xdr:rowOff>76200</xdr:rowOff>
    </xdr:from>
    <xdr:to>
      <xdr:col>5</xdr:col>
      <xdr:colOff>685800</xdr:colOff>
      <xdr:row>30</xdr:row>
      <xdr:rowOff>142875</xdr:rowOff>
    </xdr:to>
    <xdr:sp macro="" textlink="">
      <xdr:nvSpPr>
        <xdr:cNvPr id="4" name="円/楕円 3"/>
        <xdr:cNvSpPr/>
      </xdr:nvSpPr>
      <xdr:spPr>
        <a:xfrm>
          <a:off x="1114425" y="5676900"/>
          <a:ext cx="5267325" cy="466725"/>
        </a:xfrm>
        <a:prstGeom prst="ellipse">
          <a:avLst/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個人戦入力上の注意！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Q272"/>
  <sheetViews>
    <sheetView tabSelected="1" view="pageBreakPreview" topLeftCell="A238" zoomScaleNormal="75" workbookViewId="0">
      <selection activeCell="T265" sqref="T265"/>
    </sheetView>
  </sheetViews>
  <sheetFormatPr defaultRowHeight="13.5" x14ac:dyDescent="0.15"/>
  <cols>
    <col min="1" max="1" width="7.125" style="128" customWidth="1"/>
    <col min="2" max="16" width="9.375" style="128" customWidth="1"/>
    <col min="17" max="17" width="7.125" style="128" customWidth="1"/>
    <col min="18" max="18" width="2.125" style="128" customWidth="1"/>
    <col min="19" max="16384" width="9" style="128"/>
  </cols>
  <sheetData>
    <row r="1" spans="1:17" x14ac:dyDescent="0.1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ht="52.5" customHeight="1" x14ac:dyDescent="0.15">
      <c r="A2" s="129"/>
      <c r="B2" s="208" t="s">
        <v>2552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129"/>
    </row>
    <row r="3" spans="1:17" x14ac:dyDescent="0.1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7" ht="52.5" customHeight="1" x14ac:dyDescent="0.15">
      <c r="A4" s="129"/>
      <c r="B4" s="209" t="s">
        <v>2553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129"/>
    </row>
    <row r="5" spans="1:17" ht="52.5" customHeight="1" x14ac:dyDescent="0.15">
      <c r="A5" s="12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129"/>
    </row>
    <row r="6" spans="1:17" ht="52.5" customHeight="1" x14ac:dyDescent="0.15">
      <c r="A6" s="12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129"/>
    </row>
    <row r="7" spans="1:17" x14ac:dyDescent="0.1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</row>
    <row r="8" spans="1:17" ht="28.5" x14ac:dyDescent="0.15">
      <c r="A8" s="130" t="s">
        <v>2554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</row>
    <row r="87" spans="1:17" ht="28.5" x14ac:dyDescent="0.15">
      <c r="A87" s="130" t="s">
        <v>2555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</row>
    <row r="118" spans="1:17" ht="28.5" x14ac:dyDescent="0.15">
      <c r="A118" s="130" t="s">
        <v>2557</v>
      </c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</row>
    <row r="265" spans="1:17" ht="28.5" x14ac:dyDescent="0.15">
      <c r="A265" s="130" t="s">
        <v>2651</v>
      </c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</row>
    <row r="267" spans="1:17" ht="28.5" x14ac:dyDescent="0.15">
      <c r="A267" s="205" t="s">
        <v>2652</v>
      </c>
      <c r="B267" s="205" t="s">
        <v>2653</v>
      </c>
      <c r="C267" s="206"/>
      <c r="D267" s="206"/>
      <c r="E267" s="206"/>
      <c r="F267" s="206"/>
      <c r="G267" s="206"/>
      <c r="H267" s="206"/>
      <c r="I267" s="206"/>
      <c r="J267" s="206"/>
      <c r="K267" s="206"/>
      <c r="L267" s="206"/>
      <c r="M267" s="206"/>
      <c r="N267" s="206"/>
      <c r="O267" s="206"/>
      <c r="P267" s="206"/>
      <c r="Q267" s="206"/>
    </row>
    <row r="268" spans="1:17" ht="28.5" x14ac:dyDescent="0.15">
      <c r="A268" s="205"/>
      <c r="B268" s="205" t="s">
        <v>2654</v>
      </c>
      <c r="C268" s="206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</row>
    <row r="269" spans="1:17" ht="6" customHeight="1" x14ac:dyDescent="0.15">
      <c r="A269" s="207"/>
      <c r="B269" s="207"/>
      <c r="C269" s="207"/>
      <c r="D269" s="207"/>
      <c r="E269" s="207"/>
      <c r="F269" s="207"/>
      <c r="G269" s="207"/>
      <c r="H269" s="207"/>
      <c r="I269" s="207"/>
      <c r="J269" s="207"/>
      <c r="K269" s="207"/>
      <c r="L269" s="207"/>
      <c r="M269" s="207"/>
      <c r="N269" s="207"/>
      <c r="O269" s="207"/>
      <c r="P269" s="207"/>
      <c r="Q269" s="207"/>
    </row>
    <row r="270" spans="1:17" ht="28.5" x14ac:dyDescent="0.15">
      <c r="A270" s="205" t="s">
        <v>2652</v>
      </c>
      <c r="B270" s="205" t="s">
        <v>2657</v>
      </c>
      <c r="C270" s="206"/>
      <c r="D270" s="206"/>
      <c r="E270" s="206"/>
      <c r="F270" s="206"/>
      <c r="G270" s="206"/>
      <c r="H270" s="206"/>
      <c r="I270" s="206"/>
      <c r="J270" s="206"/>
      <c r="K270" s="206"/>
      <c r="L270" s="206"/>
      <c r="M270" s="206"/>
      <c r="N270" s="206"/>
      <c r="O270" s="206"/>
      <c r="P270" s="206"/>
      <c r="Q270" s="206"/>
    </row>
    <row r="271" spans="1:17" ht="28.5" x14ac:dyDescent="0.15">
      <c r="A271" s="205"/>
      <c r="B271" s="205" t="s">
        <v>2656</v>
      </c>
      <c r="C271" s="206"/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  <c r="N271" s="206"/>
      <c r="O271" s="206"/>
      <c r="P271" s="206"/>
      <c r="Q271" s="206"/>
    </row>
    <row r="272" spans="1:17" ht="28.5" x14ac:dyDescent="0.15">
      <c r="A272" s="205"/>
      <c r="B272" s="205" t="s">
        <v>2655</v>
      </c>
      <c r="C272" s="206"/>
      <c r="D272" s="206"/>
      <c r="E272" s="206"/>
      <c r="F272" s="206"/>
      <c r="G272" s="206"/>
      <c r="H272" s="206"/>
      <c r="I272" s="206"/>
      <c r="J272" s="206"/>
      <c r="K272" s="206"/>
      <c r="L272" s="206"/>
      <c r="M272" s="206"/>
      <c r="N272" s="206"/>
      <c r="O272" s="206"/>
      <c r="P272" s="206"/>
      <c r="Q272" s="206"/>
    </row>
  </sheetData>
  <sheetProtection sheet="1" objects="1" scenarios="1"/>
  <mergeCells count="2">
    <mergeCell ref="B2:P2"/>
    <mergeCell ref="B4:P6"/>
  </mergeCells>
  <phoneticPr fontId="2"/>
  <pageMargins left="0.25" right="0.21" top="0.51" bottom="0.27" header="0.13" footer="0.27"/>
  <pageSetup paperSize="9" scale="65" orientation="portrait" horizontalDpi="4294967293" r:id="rId1"/>
  <headerFooter alignWithMargins="0"/>
  <rowBreaks count="2" manualBreakCount="2">
    <brk id="85" max="16" man="1"/>
    <brk id="180" max="1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364"/>
  <sheetViews>
    <sheetView workbookViewId="0">
      <pane ySplit="2" topLeftCell="A3" activePane="bottomLeft" state="frozen"/>
      <selection activeCell="B1" sqref="B1"/>
      <selection pane="bottomLeft" activeCell="C154" sqref="C154"/>
    </sheetView>
  </sheetViews>
  <sheetFormatPr defaultRowHeight="13.5" outlineLevelRow="1" x14ac:dyDescent="0.15"/>
  <cols>
    <col min="1" max="1" width="3.625" style="1" customWidth="1"/>
    <col min="2" max="2" width="6.5" customWidth="1"/>
    <col min="3" max="3" width="9" style="1" customWidth="1"/>
    <col min="4" max="4" width="6.25" style="1" customWidth="1"/>
    <col min="5" max="5" width="16.625" style="1" customWidth="1"/>
    <col min="6" max="6" width="12.125" style="1" customWidth="1"/>
    <col min="7" max="9" width="9.125" style="1" customWidth="1"/>
    <col min="10" max="10" width="5" style="1" customWidth="1"/>
    <col min="11" max="11" width="4.75" style="1" customWidth="1"/>
    <col min="12" max="12" width="9.125" style="1" customWidth="1"/>
    <col min="13" max="13" width="5" style="1" customWidth="1"/>
    <col min="14" max="14" width="4.75" style="1" customWidth="1"/>
    <col min="15" max="15" width="9.125" style="1" customWidth="1"/>
    <col min="16" max="16" width="5" style="1" customWidth="1"/>
    <col min="17" max="17" width="4.75" style="1" customWidth="1"/>
    <col min="18" max="21" width="9.125" style="1" customWidth="1"/>
    <col min="22" max="22" width="28" style="1" customWidth="1"/>
    <col min="23" max="23" width="11.25" style="1" customWidth="1"/>
    <col min="24" max="25" width="9" style="1"/>
    <col min="26" max="26" width="25.5" style="1" customWidth="1"/>
    <col min="27" max="27" width="15.375" style="1" customWidth="1"/>
    <col min="28" max="16384" width="9" style="1"/>
  </cols>
  <sheetData>
    <row r="1" spans="1:27" x14ac:dyDescent="0.15">
      <c r="A1" s="2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</row>
    <row r="2" spans="1:27" ht="14.25" thickBot="1" x14ac:dyDescent="0.2">
      <c r="A2" s="7" t="s">
        <v>62</v>
      </c>
      <c r="B2" s="7" t="s">
        <v>993</v>
      </c>
      <c r="C2" s="70" t="s">
        <v>887</v>
      </c>
      <c r="D2" s="70" t="s">
        <v>992</v>
      </c>
      <c r="E2" s="8" t="s">
        <v>63</v>
      </c>
      <c r="F2" s="8" t="s">
        <v>64</v>
      </c>
      <c r="G2" s="8" t="s">
        <v>65</v>
      </c>
      <c r="H2" s="8" t="s">
        <v>66</v>
      </c>
      <c r="I2" s="8" t="s">
        <v>67</v>
      </c>
      <c r="J2" s="8"/>
      <c r="K2" s="8" t="s">
        <v>68</v>
      </c>
      <c r="L2" s="8" t="s">
        <v>69</v>
      </c>
      <c r="M2" s="8"/>
      <c r="N2" s="8" t="s">
        <v>68</v>
      </c>
      <c r="O2" s="8" t="s">
        <v>41</v>
      </c>
      <c r="P2" s="8"/>
      <c r="Q2" s="8" t="s">
        <v>68</v>
      </c>
      <c r="R2" s="8" t="s">
        <v>70</v>
      </c>
      <c r="S2" s="8" t="s">
        <v>71</v>
      </c>
      <c r="T2" s="8" t="s">
        <v>72</v>
      </c>
      <c r="U2" s="8" t="s">
        <v>73</v>
      </c>
      <c r="V2" s="8" t="s">
        <v>74</v>
      </c>
      <c r="W2" s="8" t="s">
        <v>75</v>
      </c>
      <c r="X2" s="7" t="s">
        <v>887</v>
      </c>
    </row>
    <row r="3" spans="1:27" s="81" customFormat="1" ht="22.5" customHeight="1" thickBot="1" x14ac:dyDescent="0.2">
      <c r="A3" s="76"/>
      <c r="B3" s="82">
        <f>メインシート!$C$8</f>
        <v>4</v>
      </c>
      <c r="C3" s="83">
        <f>メインシート!$C$6</f>
        <v>0</v>
      </c>
      <c r="D3" s="77">
        <f>VALUE(RIGHT(C3,3))</f>
        <v>0</v>
      </c>
      <c r="E3" s="78" t="str">
        <f>IF($D3=0,"",VLOOKUP($D3,$D$4:$W$363,2,0))</f>
        <v/>
      </c>
      <c r="F3" s="78" t="str">
        <f>IF($D3=0,"",VLOOKUP($D3,$D$4:$W$363,3,0))</f>
        <v/>
      </c>
      <c r="G3" s="78" t="str">
        <f>IF($D3=0,"",VLOOKUP($D3,$D$4:$W$363,4,0))</f>
        <v/>
      </c>
      <c r="H3" s="78" t="str">
        <f>IF($D3=0,"",VLOOKUP($D3,$D$4:$W$363,5,0))</f>
        <v/>
      </c>
      <c r="I3" s="78" t="str">
        <f>IF(メインシート!$H$13="","",メインシート!$H$13)</f>
        <v/>
      </c>
      <c r="J3" s="78" t="str">
        <f>IF(メインシート!$K$13="","",メインシート!$K$13)</f>
        <v/>
      </c>
      <c r="K3" s="85" t="str">
        <f>IF(メインシート!$L$13="","",メインシート!$L$13)</f>
        <v/>
      </c>
      <c r="L3" s="78" t="str">
        <f>IF(メインシート!$H$15="","",メインシート!$H$15)</f>
        <v/>
      </c>
      <c r="M3" s="78" t="str">
        <f>IF(メインシート!$K$15="","",メインシート!$K$15)</f>
        <v/>
      </c>
      <c r="N3" s="85" t="str">
        <f>IF(メインシート!$L$15="","",メインシート!$L$15)</f>
        <v/>
      </c>
      <c r="O3" s="78" t="str">
        <f>IF(メインシート!$H$17="","",メインシート!$H$17)</f>
        <v/>
      </c>
      <c r="P3" s="78" t="str">
        <f>IF(メインシート!$K$17="","",メインシート!$K$17)</f>
        <v/>
      </c>
      <c r="Q3" s="85" t="str">
        <f>IF(メインシート!$L$17="","",メインシート!$L$17)</f>
        <v/>
      </c>
      <c r="R3" s="78" t="str">
        <f>IF(メインシート!$H$7="","",メインシート!$H$7)</f>
        <v/>
      </c>
      <c r="S3" s="78" t="str">
        <f>IF($D3=0,"",VLOOKUP($D3,$D$4:$W$363,16,0))</f>
        <v/>
      </c>
      <c r="T3" s="78" t="str">
        <f>IF($D3=0,"",VLOOKUP($D3,$D$4:$W$363,17,0))</f>
        <v/>
      </c>
      <c r="U3" s="78" t="str">
        <f>IF($D3=0,"",VLOOKUP($D3,$D$4:$W$363,18,0))</f>
        <v/>
      </c>
      <c r="V3" s="78" t="str">
        <f>IF($D3=0,"",VLOOKUP($D3,$D$4:$W$363,19,0))</f>
        <v/>
      </c>
      <c r="W3" s="79" t="str">
        <f>IF($B3=0,"",VLOOKUP($B3,メインシート!$B$13:$D$18,2,0))</f>
        <v>山形</v>
      </c>
      <c r="X3" s="69">
        <f>IF(C3="","",C3)</f>
        <v>0</v>
      </c>
      <c r="Y3" s="80"/>
      <c r="Z3" s="81" t="str">
        <f>IF($D3=0,"",VLOOKUP($D3,$D$4:$AA$363,23,0))</f>
        <v/>
      </c>
      <c r="AA3" s="81" t="str">
        <f>IF(メインシート!$H$5="","",メインシート!$H$5)</f>
        <v/>
      </c>
    </row>
    <row r="4" spans="1:27" hidden="1" outlineLevel="1" x14ac:dyDescent="0.15">
      <c r="A4" s="9">
        <v>1</v>
      </c>
      <c r="B4" s="71">
        <v>1</v>
      </c>
      <c r="C4" s="71">
        <f>IF(D4="","",VALUE(CONCATENATE(B4,IF(LEN(B4)=1,0,""),D4)))</f>
        <v>10101</v>
      </c>
      <c r="D4" s="72">
        <v>101</v>
      </c>
      <c r="E4" s="4" t="s">
        <v>1174</v>
      </c>
      <c r="F4" s="4" t="s">
        <v>1174</v>
      </c>
      <c r="G4" s="4" t="s">
        <v>1194</v>
      </c>
      <c r="H4" s="4" t="s">
        <v>1195</v>
      </c>
      <c r="I4" s="4"/>
      <c r="J4" s="4"/>
      <c r="K4" s="4"/>
      <c r="L4" s="4"/>
      <c r="M4" s="4"/>
      <c r="N4" s="4"/>
      <c r="O4" s="4"/>
      <c r="P4" s="4"/>
      <c r="Q4" s="4"/>
      <c r="R4" s="3"/>
      <c r="S4" s="3" t="s">
        <v>1249</v>
      </c>
      <c r="T4" s="3" t="s">
        <v>1250</v>
      </c>
      <c r="U4" s="3" t="s">
        <v>1247</v>
      </c>
      <c r="V4" s="3" t="s">
        <v>1248</v>
      </c>
      <c r="W4" s="5" t="str">
        <f>IF($D4="","",VLOOKUP($B4,メインシート!$B$13:$D$18,2,0))</f>
        <v>青森</v>
      </c>
      <c r="X4" s="5"/>
      <c r="Z4" s="1" t="s">
        <v>1139</v>
      </c>
      <c r="AA4" s="1" t="s">
        <v>1172</v>
      </c>
    </row>
    <row r="5" spans="1:27" hidden="1" outlineLevel="1" x14ac:dyDescent="0.15">
      <c r="A5" s="9">
        <v>2</v>
      </c>
      <c r="B5" s="5">
        <f>B4</f>
        <v>1</v>
      </c>
      <c r="C5" s="71">
        <f>IF(D5="","",VALUE(CONCATENATE(B5,IF(LEN(B5)=1,0,""),D5)))</f>
        <v>10102</v>
      </c>
      <c r="D5" s="72">
        <v>102</v>
      </c>
      <c r="E5" s="4" t="s">
        <v>1186</v>
      </c>
      <c r="F5" s="4" t="s">
        <v>1223</v>
      </c>
      <c r="G5" s="4" t="s">
        <v>1233</v>
      </c>
      <c r="H5" s="4" t="s">
        <v>1234</v>
      </c>
      <c r="I5" s="4"/>
      <c r="J5" s="4"/>
      <c r="K5" s="4"/>
      <c r="L5" s="4"/>
      <c r="M5" s="4"/>
      <c r="N5" s="4"/>
      <c r="O5" s="4"/>
      <c r="P5" s="4"/>
      <c r="Q5" s="4"/>
      <c r="R5" s="3"/>
      <c r="S5" s="3" t="s">
        <v>1295</v>
      </c>
      <c r="T5" s="3" t="s">
        <v>1295</v>
      </c>
      <c r="U5" s="3" t="s">
        <v>1293</v>
      </c>
      <c r="V5" s="3" t="s">
        <v>1294</v>
      </c>
      <c r="W5" s="5" t="str">
        <f>IF($D5="","",VLOOKUP($B5,メインシート!$B$13:$D$18,2,0))</f>
        <v>青森</v>
      </c>
      <c r="X5" s="5"/>
      <c r="Z5" s="1" t="s">
        <v>1158</v>
      </c>
      <c r="AA5" s="1" t="s">
        <v>1159</v>
      </c>
    </row>
    <row r="6" spans="1:27" hidden="1" outlineLevel="1" x14ac:dyDescent="0.15">
      <c r="A6" s="9">
        <v>3</v>
      </c>
      <c r="B6" s="5">
        <f>B5</f>
        <v>1</v>
      </c>
      <c r="C6" s="71">
        <f>IF(D6="","",VALUE(CONCATENATE(B6,IF(LEN(B6)=1,0,""),D6)))</f>
        <v>10103</v>
      </c>
      <c r="D6" s="72">
        <v>103</v>
      </c>
      <c r="E6" s="4" t="s">
        <v>1184</v>
      </c>
      <c r="F6" s="4" t="s">
        <v>1217</v>
      </c>
      <c r="G6" s="4" t="s">
        <v>1229</v>
      </c>
      <c r="H6" s="4" t="s">
        <v>1230</v>
      </c>
      <c r="I6" s="4"/>
      <c r="J6" s="4"/>
      <c r="K6" s="4"/>
      <c r="L6" s="4"/>
      <c r="M6" s="4"/>
      <c r="N6" s="4"/>
      <c r="O6" s="4"/>
      <c r="P6" s="4"/>
      <c r="Q6" s="4"/>
      <c r="R6" s="3"/>
      <c r="S6" s="3" t="s">
        <v>1272</v>
      </c>
      <c r="T6" s="3" t="s">
        <v>1273</v>
      </c>
      <c r="U6" s="3" t="s">
        <v>1270</v>
      </c>
      <c r="V6" s="3" t="s">
        <v>1271</v>
      </c>
      <c r="W6" s="5" t="str">
        <f>IF($D6="","",VLOOKUP($B6,メインシート!$B$13:$D$18,2,0))</f>
        <v>青森</v>
      </c>
      <c r="X6" s="5"/>
      <c r="Z6" s="1" t="s">
        <v>1150</v>
      </c>
      <c r="AA6" s="1" t="s">
        <v>1151</v>
      </c>
    </row>
    <row r="7" spans="1:27" hidden="1" outlineLevel="1" x14ac:dyDescent="0.15">
      <c r="A7" s="9">
        <v>4</v>
      </c>
      <c r="B7" s="5">
        <f t="shared" ref="B7:B70" si="0">B6</f>
        <v>1</v>
      </c>
      <c r="C7" s="71">
        <f t="shared" ref="C7:C70" si="1">IF(D7="","",VALUE(CONCATENATE(B7,IF(LEN(B7)=1,0,""),D7)))</f>
        <v>10104</v>
      </c>
      <c r="D7" s="72">
        <v>104</v>
      </c>
      <c r="E7" s="4" t="s">
        <v>1284</v>
      </c>
      <c r="F7" s="4" t="s">
        <v>1285</v>
      </c>
      <c r="G7" s="4" t="s">
        <v>1286</v>
      </c>
      <c r="H7" s="4" t="s">
        <v>1287</v>
      </c>
      <c r="I7" s="4"/>
      <c r="J7" s="4"/>
      <c r="K7" s="4"/>
      <c r="L7" s="4"/>
      <c r="M7" s="4"/>
      <c r="N7" s="4"/>
      <c r="O7" s="4"/>
      <c r="P7" s="4"/>
      <c r="Q7" s="4"/>
      <c r="R7" s="3"/>
      <c r="S7" s="3" t="s">
        <v>1291</v>
      </c>
      <c r="T7" s="3" t="s">
        <v>1292</v>
      </c>
      <c r="U7" s="3" t="s">
        <v>1288</v>
      </c>
      <c r="V7" s="3" t="s">
        <v>1289</v>
      </c>
      <c r="W7" s="5" t="str">
        <f>IF($D7="","",VLOOKUP($B7,メインシート!$B$13:$D$18,2,0))</f>
        <v>青森</v>
      </c>
      <c r="X7" s="5"/>
      <c r="Z7" s="1" t="s">
        <v>1282</v>
      </c>
      <c r="AA7" s="1" t="s">
        <v>1283</v>
      </c>
    </row>
    <row r="8" spans="1:27" hidden="1" outlineLevel="1" x14ac:dyDescent="0.15">
      <c r="A8" s="9">
        <v>5</v>
      </c>
      <c r="B8" s="5">
        <f t="shared" si="0"/>
        <v>1</v>
      </c>
      <c r="C8" s="71">
        <f t="shared" si="1"/>
        <v>10105</v>
      </c>
      <c r="D8" s="72">
        <v>105</v>
      </c>
      <c r="E8" s="4" t="s">
        <v>1182</v>
      </c>
      <c r="F8" s="4" t="s">
        <v>1215</v>
      </c>
      <c r="G8" s="4" t="s">
        <v>1225</v>
      </c>
      <c r="H8" s="4" t="s">
        <v>1226</v>
      </c>
      <c r="I8" s="4"/>
      <c r="J8" s="4"/>
      <c r="K8" s="4"/>
      <c r="L8" s="4"/>
      <c r="M8" s="4"/>
      <c r="N8" s="4"/>
      <c r="O8" s="4"/>
      <c r="P8" s="4"/>
      <c r="Q8" s="4"/>
      <c r="R8" s="3"/>
      <c r="S8" s="3" t="s">
        <v>1314</v>
      </c>
      <c r="T8" s="3" t="s">
        <v>1315</v>
      </c>
      <c r="U8" s="3" t="s">
        <v>1312</v>
      </c>
      <c r="V8" s="3" t="s">
        <v>1313</v>
      </c>
      <c r="W8" s="5" t="str">
        <f>IF($D8="","",VLOOKUP($B8,メインシート!$B$13:$D$18,2,0))</f>
        <v>青森</v>
      </c>
      <c r="X8" s="5"/>
      <c r="Z8" s="1" t="s">
        <v>1169</v>
      </c>
      <c r="AA8" s="1" t="s">
        <v>1171</v>
      </c>
    </row>
    <row r="9" spans="1:27" hidden="1" outlineLevel="1" x14ac:dyDescent="0.15">
      <c r="A9" s="9">
        <v>6</v>
      </c>
      <c r="B9" s="5">
        <f t="shared" si="0"/>
        <v>1</v>
      </c>
      <c r="C9" s="71">
        <f t="shared" si="1"/>
        <v>10106</v>
      </c>
      <c r="D9" s="72">
        <v>106</v>
      </c>
      <c r="E9" s="4" t="s">
        <v>1176</v>
      </c>
      <c r="F9" s="4" t="s">
        <v>1199</v>
      </c>
      <c r="G9" s="4" t="s">
        <v>1200</v>
      </c>
      <c r="H9" s="4" t="s">
        <v>1201</v>
      </c>
      <c r="I9" s="4"/>
      <c r="J9" s="4"/>
      <c r="K9" s="4"/>
      <c r="L9" s="4"/>
      <c r="M9" s="4"/>
      <c r="N9" s="4"/>
      <c r="O9" s="4"/>
      <c r="P9" s="4"/>
      <c r="Q9" s="4"/>
      <c r="R9" s="3"/>
      <c r="S9" s="3" t="s">
        <v>1306</v>
      </c>
      <c r="T9" s="3" t="s">
        <v>1307</v>
      </c>
      <c r="U9" s="3" t="s">
        <v>1304</v>
      </c>
      <c r="V9" s="3" t="s">
        <v>1305</v>
      </c>
      <c r="W9" s="5" t="str">
        <f>IF($D9="","",VLOOKUP($B9,メインシート!$B$13:$D$18,2,0))</f>
        <v>青森</v>
      </c>
      <c r="X9" s="5"/>
      <c r="Z9" s="1" t="s">
        <v>1167</v>
      </c>
      <c r="AA9" s="1" t="s">
        <v>1168</v>
      </c>
    </row>
    <row r="10" spans="1:27" hidden="1" outlineLevel="1" x14ac:dyDescent="0.15">
      <c r="A10" s="9">
        <v>7</v>
      </c>
      <c r="B10" s="5">
        <f t="shared" si="0"/>
        <v>1</v>
      </c>
      <c r="C10" s="71">
        <f t="shared" si="1"/>
        <v>10107</v>
      </c>
      <c r="D10" s="72">
        <v>107</v>
      </c>
      <c r="E10" s="4" t="s">
        <v>1188</v>
      </c>
      <c r="F10" s="4" t="s">
        <v>1220</v>
      </c>
      <c r="G10" s="4" t="s">
        <v>1237</v>
      </c>
      <c r="H10" s="4" t="s">
        <v>1238</v>
      </c>
      <c r="I10" s="4"/>
      <c r="J10" s="4"/>
      <c r="K10" s="4"/>
      <c r="L10" s="4"/>
      <c r="M10" s="4"/>
      <c r="N10" s="4"/>
      <c r="O10" s="4"/>
      <c r="P10" s="4"/>
      <c r="Q10" s="4"/>
      <c r="R10" s="3"/>
      <c r="S10" s="3" t="s">
        <v>1252</v>
      </c>
      <c r="T10" s="3" t="s">
        <v>1253</v>
      </c>
      <c r="U10" s="3" t="s">
        <v>1251</v>
      </c>
      <c r="V10" s="3" t="s">
        <v>1264</v>
      </c>
      <c r="W10" s="5" t="str">
        <f>IF($D10="","",VLOOKUP($B10,メインシート!$B$13:$D$18,2,0))</f>
        <v>青森</v>
      </c>
      <c r="X10" s="5"/>
      <c r="Z10" s="1" t="s">
        <v>1140</v>
      </c>
      <c r="AA10" s="1" t="s">
        <v>1141</v>
      </c>
    </row>
    <row r="11" spans="1:27" hidden="1" outlineLevel="1" x14ac:dyDescent="0.15">
      <c r="A11" s="9">
        <v>8</v>
      </c>
      <c r="B11" s="5">
        <f t="shared" si="0"/>
        <v>1</v>
      </c>
      <c r="C11" s="71">
        <f t="shared" si="1"/>
        <v>10108</v>
      </c>
      <c r="D11" s="72">
        <v>108</v>
      </c>
      <c r="E11" s="4" t="s">
        <v>1177</v>
      </c>
      <c r="F11" s="4" t="s">
        <v>1202</v>
      </c>
      <c r="G11" s="4" t="s">
        <v>1203</v>
      </c>
      <c r="H11" s="4" t="s">
        <v>1204</v>
      </c>
      <c r="I11" s="4"/>
      <c r="J11" s="4"/>
      <c r="K11" s="4"/>
      <c r="L11" s="4"/>
      <c r="M11" s="4"/>
      <c r="N11" s="4"/>
      <c r="O11" s="4"/>
      <c r="P11" s="4"/>
      <c r="Q11" s="4"/>
      <c r="R11" s="3"/>
      <c r="S11" s="3" t="s">
        <v>1246</v>
      </c>
      <c r="T11" s="3" t="s">
        <v>1245</v>
      </c>
      <c r="U11" s="3" t="s">
        <v>1243</v>
      </c>
      <c r="V11" s="3" t="s">
        <v>1244</v>
      </c>
      <c r="W11" s="5" t="str">
        <f>IF($D11="","",VLOOKUP($B11,メインシート!$B$13:$D$18,2,0))</f>
        <v>青森</v>
      </c>
      <c r="X11" s="5"/>
      <c r="Z11" s="1" t="s">
        <v>1137</v>
      </c>
      <c r="AA11" s="1" t="s">
        <v>1138</v>
      </c>
    </row>
    <row r="12" spans="1:27" hidden="1" outlineLevel="1" x14ac:dyDescent="0.15">
      <c r="A12" s="9">
        <v>9</v>
      </c>
      <c r="B12" s="5">
        <f t="shared" si="0"/>
        <v>1</v>
      </c>
      <c r="C12" s="71">
        <f t="shared" si="1"/>
        <v>10109</v>
      </c>
      <c r="D12" s="72">
        <v>109</v>
      </c>
      <c r="E12" s="4" t="s">
        <v>1183</v>
      </c>
      <c r="F12" s="4" t="s">
        <v>1216</v>
      </c>
      <c r="G12" s="4" t="s">
        <v>1227</v>
      </c>
      <c r="H12" s="4" t="s">
        <v>1228</v>
      </c>
      <c r="I12" s="4"/>
      <c r="J12" s="4"/>
      <c r="K12" s="4"/>
      <c r="L12" s="4"/>
      <c r="M12" s="4"/>
      <c r="N12" s="4"/>
      <c r="O12" s="4"/>
      <c r="P12" s="4"/>
      <c r="Q12" s="4"/>
      <c r="R12" s="3"/>
      <c r="S12" s="3" t="s">
        <v>1280</v>
      </c>
      <c r="T12" s="3" t="s">
        <v>1281</v>
      </c>
      <c r="U12" s="3" t="s">
        <v>1278</v>
      </c>
      <c r="V12" s="3" t="s">
        <v>1279</v>
      </c>
      <c r="W12" s="5" t="str">
        <f>IF($D12="","",VLOOKUP($B12,メインシート!$B$13:$D$18,2,0))</f>
        <v>青森</v>
      </c>
      <c r="X12" s="5"/>
      <c r="Z12" s="1" t="s">
        <v>1154</v>
      </c>
      <c r="AA12" s="1" t="s">
        <v>1155</v>
      </c>
    </row>
    <row r="13" spans="1:27" hidden="1" outlineLevel="1" x14ac:dyDescent="0.15">
      <c r="A13" s="9">
        <v>10</v>
      </c>
      <c r="B13" s="5">
        <f t="shared" si="0"/>
        <v>1</v>
      </c>
      <c r="C13" s="71">
        <f t="shared" si="1"/>
        <v>10110</v>
      </c>
      <c r="D13" s="72">
        <v>110</v>
      </c>
      <c r="E13" s="4" t="s">
        <v>1173</v>
      </c>
      <c r="F13" s="4" t="s">
        <v>1191</v>
      </c>
      <c r="G13" s="4" t="s">
        <v>1192</v>
      </c>
      <c r="H13" s="4" t="s">
        <v>1193</v>
      </c>
      <c r="I13" s="4"/>
      <c r="J13" s="4"/>
      <c r="K13" s="4"/>
      <c r="L13" s="4"/>
      <c r="M13" s="4"/>
      <c r="N13" s="4"/>
      <c r="O13" s="4"/>
      <c r="P13" s="4"/>
      <c r="Q13" s="4"/>
      <c r="R13" s="3"/>
      <c r="S13" s="3" t="s">
        <v>1318</v>
      </c>
      <c r="T13" s="3" t="s">
        <v>1319</v>
      </c>
      <c r="U13" s="3" t="s">
        <v>1316</v>
      </c>
      <c r="V13" s="3" t="s">
        <v>1317</v>
      </c>
      <c r="W13" s="5" t="str">
        <f>IF($D13="","",VLOOKUP($B13,メインシート!$B$13:$D$18,2,0))</f>
        <v>青森</v>
      </c>
      <c r="X13" s="5"/>
      <c r="Z13" s="1" t="s">
        <v>1165</v>
      </c>
      <c r="AA13" s="1" t="s">
        <v>1166</v>
      </c>
    </row>
    <row r="14" spans="1:27" hidden="1" outlineLevel="1" x14ac:dyDescent="0.15">
      <c r="A14" s="9">
        <v>11</v>
      </c>
      <c r="B14" s="5">
        <f t="shared" si="0"/>
        <v>1</v>
      </c>
      <c r="C14" s="71">
        <f t="shared" si="1"/>
        <v>10111</v>
      </c>
      <c r="D14" s="72">
        <v>111</v>
      </c>
      <c r="E14" s="4" t="s">
        <v>1175</v>
      </c>
      <c r="F14" s="4" t="s">
        <v>1196</v>
      </c>
      <c r="G14" s="4" t="s">
        <v>1197</v>
      </c>
      <c r="H14" s="4" t="s">
        <v>1198</v>
      </c>
      <c r="I14" s="4"/>
      <c r="J14" s="4"/>
      <c r="K14" s="4"/>
      <c r="L14" s="4"/>
      <c r="M14" s="4"/>
      <c r="N14" s="4"/>
      <c r="O14" s="4"/>
      <c r="P14" s="4"/>
      <c r="Q14" s="4"/>
      <c r="R14" s="3"/>
      <c r="S14" s="3" t="s">
        <v>1302</v>
      </c>
      <c r="T14" s="3" t="s">
        <v>1303</v>
      </c>
      <c r="U14" s="3" t="s">
        <v>1300</v>
      </c>
      <c r="V14" s="3" t="s">
        <v>1301</v>
      </c>
      <c r="W14" s="5" t="str">
        <f>IF($D14="","",VLOOKUP($B14,メインシート!$B$13:$D$18,2,0))</f>
        <v>青森</v>
      </c>
      <c r="X14" s="5"/>
      <c r="Z14" s="1" t="s">
        <v>1160</v>
      </c>
      <c r="AA14" s="1" t="s">
        <v>1161</v>
      </c>
    </row>
    <row r="15" spans="1:27" hidden="1" outlineLevel="1" x14ac:dyDescent="0.15">
      <c r="A15" s="9">
        <v>12</v>
      </c>
      <c r="B15" s="5">
        <f t="shared" si="0"/>
        <v>1</v>
      </c>
      <c r="C15" s="71">
        <f t="shared" si="1"/>
        <v>10112</v>
      </c>
      <c r="D15" s="72">
        <v>112</v>
      </c>
      <c r="E15" s="4" t="s">
        <v>1189</v>
      </c>
      <c r="F15" s="4" t="s">
        <v>1221</v>
      </c>
      <c r="G15" s="4" t="s">
        <v>1239</v>
      </c>
      <c r="H15" s="4" t="s">
        <v>1240</v>
      </c>
      <c r="I15" s="4"/>
      <c r="J15" s="4"/>
      <c r="K15" s="4"/>
      <c r="L15" s="4"/>
      <c r="M15" s="4"/>
      <c r="N15" s="4"/>
      <c r="O15" s="4"/>
      <c r="P15" s="4"/>
      <c r="Q15" s="4"/>
      <c r="R15" s="3"/>
      <c r="S15" s="3" t="s">
        <v>1262</v>
      </c>
      <c r="T15" s="3" t="s">
        <v>1263</v>
      </c>
      <c r="U15" s="3" t="s">
        <v>1261</v>
      </c>
      <c r="V15" s="3" t="s">
        <v>1265</v>
      </c>
      <c r="W15" s="5" t="str">
        <f>IF($D15="","",VLOOKUP($B15,メインシート!$B$13:$D$18,2,0))</f>
        <v>青森</v>
      </c>
      <c r="X15" s="5"/>
      <c r="Z15" s="1" t="s">
        <v>1146</v>
      </c>
      <c r="AA15" s="1" t="s">
        <v>1147</v>
      </c>
    </row>
    <row r="16" spans="1:27" hidden="1" outlineLevel="1" x14ac:dyDescent="0.15">
      <c r="A16" s="9">
        <v>13</v>
      </c>
      <c r="B16" s="5">
        <f t="shared" si="0"/>
        <v>1</v>
      </c>
      <c r="C16" s="71">
        <f t="shared" si="1"/>
        <v>10113</v>
      </c>
      <c r="D16" s="72">
        <v>113</v>
      </c>
      <c r="E16" s="4" t="s">
        <v>1179</v>
      </c>
      <c r="F16" s="4" t="s">
        <v>1208</v>
      </c>
      <c r="G16" s="4" t="s">
        <v>1209</v>
      </c>
      <c r="H16" s="4" t="s">
        <v>1210</v>
      </c>
      <c r="I16" s="4"/>
      <c r="J16" s="4"/>
      <c r="K16" s="4"/>
      <c r="L16" s="4"/>
      <c r="M16" s="4"/>
      <c r="N16" s="4"/>
      <c r="O16" s="4"/>
      <c r="P16" s="4"/>
      <c r="Q16" s="4"/>
      <c r="R16" s="3"/>
      <c r="S16" s="3" t="s">
        <v>1259</v>
      </c>
      <c r="T16" s="3" t="s">
        <v>1260</v>
      </c>
      <c r="U16" s="3" t="s">
        <v>1258</v>
      </c>
      <c r="V16" s="3" t="s">
        <v>1266</v>
      </c>
      <c r="W16" s="5" t="str">
        <f>IF($D16="","",VLOOKUP($B16,メインシート!$B$13:$D$18,2,0))</f>
        <v>青森</v>
      </c>
      <c r="X16" s="5"/>
      <c r="Z16" s="1" t="s">
        <v>1144</v>
      </c>
      <c r="AA16" s="1" t="s">
        <v>1145</v>
      </c>
    </row>
    <row r="17" spans="1:27" hidden="1" outlineLevel="1" x14ac:dyDescent="0.15">
      <c r="A17" s="9">
        <v>14</v>
      </c>
      <c r="B17" s="5">
        <f t="shared" si="0"/>
        <v>1</v>
      </c>
      <c r="C17" s="71">
        <f t="shared" si="1"/>
        <v>10114</v>
      </c>
      <c r="D17" s="72">
        <v>114</v>
      </c>
      <c r="E17" s="4" t="s">
        <v>1180</v>
      </c>
      <c r="F17" s="4" t="s">
        <v>1211</v>
      </c>
      <c r="G17" s="4" t="s">
        <v>1212</v>
      </c>
      <c r="H17" s="4" t="s">
        <v>1213</v>
      </c>
      <c r="I17" s="4"/>
      <c r="J17" s="4"/>
      <c r="K17" s="4"/>
      <c r="L17" s="4"/>
      <c r="M17" s="4"/>
      <c r="N17" s="4"/>
      <c r="O17" s="4"/>
      <c r="P17" s="4"/>
      <c r="Q17" s="4"/>
      <c r="R17" s="3"/>
      <c r="S17" s="3" t="s">
        <v>1268</v>
      </c>
      <c r="T17" s="3" t="s">
        <v>1269</v>
      </c>
      <c r="U17" s="3" t="s">
        <v>1275</v>
      </c>
      <c r="V17" s="3" t="s">
        <v>1267</v>
      </c>
      <c r="W17" s="5" t="str">
        <f>IF($D17="","",VLOOKUP($B17,メインシート!$B$13:$D$18,2,0))</f>
        <v>青森</v>
      </c>
      <c r="X17" s="5"/>
      <c r="Z17" s="1" t="s">
        <v>1148</v>
      </c>
      <c r="AA17" s="1" t="s">
        <v>1149</v>
      </c>
    </row>
    <row r="18" spans="1:27" hidden="1" outlineLevel="1" x14ac:dyDescent="0.15">
      <c r="A18" s="9">
        <v>15</v>
      </c>
      <c r="B18" s="5">
        <f t="shared" si="0"/>
        <v>1</v>
      </c>
      <c r="C18" s="71">
        <f t="shared" si="1"/>
        <v>10115</v>
      </c>
      <c r="D18" s="72">
        <v>115</v>
      </c>
      <c r="E18" s="4" t="s">
        <v>1178</v>
      </c>
      <c r="F18" s="4" t="s">
        <v>1205</v>
      </c>
      <c r="G18" s="4" t="s">
        <v>1206</v>
      </c>
      <c r="H18" s="4" t="s">
        <v>1207</v>
      </c>
      <c r="I18" s="4"/>
      <c r="J18" s="4"/>
      <c r="K18" s="4"/>
      <c r="L18" s="4"/>
      <c r="M18" s="4"/>
      <c r="N18" s="4"/>
      <c r="O18" s="4"/>
      <c r="P18" s="4"/>
      <c r="Q18" s="4"/>
      <c r="R18" s="3"/>
      <c r="S18" s="3" t="s">
        <v>1310</v>
      </c>
      <c r="T18" s="3" t="s">
        <v>1311</v>
      </c>
      <c r="U18" s="3" t="s">
        <v>1308</v>
      </c>
      <c r="V18" s="3" t="s">
        <v>1309</v>
      </c>
      <c r="W18" s="5" t="str">
        <f>IF($D18="","",VLOOKUP($B18,メインシート!$B$13:$D$18,2,0))</f>
        <v>青森</v>
      </c>
      <c r="X18" s="5"/>
      <c r="Z18" s="1" t="s">
        <v>1164</v>
      </c>
      <c r="AA18" s="1" t="s">
        <v>1170</v>
      </c>
    </row>
    <row r="19" spans="1:27" hidden="1" outlineLevel="1" x14ac:dyDescent="0.15">
      <c r="A19" s="9">
        <v>16</v>
      </c>
      <c r="B19" s="5">
        <f t="shared" si="0"/>
        <v>1</v>
      </c>
      <c r="C19" s="71">
        <f t="shared" si="1"/>
        <v>10116</v>
      </c>
      <c r="D19" s="72">
        <v>116</v>
      </c>
      <c r="E19" s="4" t="s">
        <v>1185</v>
      </c>
      <c r="F19" s="4" t="s">
        <v>1218</v>
      </c>
      <c r="G19" s="4" t="s">
        <v>1231</v>
      </c>
      <c r="H19" s="4" t="s">
        <v>1232</v>
      </c>
      <c r="I19" s="4"/>
      <c r="J19" s="4"/>
      <c r="K19" s="4"/>
      <c r="L19" s="4"/>
      <c r="M19" s="4"/>
      <c r="N19" s="4"/>
      <c r="O19" s="4"/>
      <c r="P19" s="4"/>
      <c r="Q19" s="4"/>
      <c r="R19" s="3"/>
      <c r="S19" s="3" t="s">
        <v>1256</v>
      </c>
      <c r="T19" s="3" t="s">
        <v>1257</v>
      </c>
      <c r="U19" s="3" t="s">
        <v>1254</v>
      </c>
      <c r="V19" s="3" t="s">
        <v>1255</v>
      </c>
      <c r="W19" s="5" t="str">
        <f>IF($D19="","",VLOOKUP($B19,メインシート!$B$13:$D$18,2,0))</f>
        <v>青森</v>
      </c>
      <c r="X19" s="5"/>
      <c r="Z19" s="1" t="s">
        <v>1142</v>
      </c>
      <c r="AA19" s="1" t="s">
        <v>1143</v>
      </c>
    </row>
    <row r="20" spans="1:27" hidden="1" outlineLevel="1" x14ac:dyDescent="0.15">
      <c r="A20" s="9">
        <v>17</v>
      </c>
      <c r="B20" s="5">
        <f t="shared" si="0"/>
        <v>1</v>
      </c>
      <c r="C20" s="71">
        <f t="shared" si="1"/>
        <v>10117</v>
      </c>
      <c r="D20" s="72">
        <v>117</v>
      </c>
      <c r="E20" s="4" t="s">
        <v>1181</v>
      </c>
      <c r="F20" s="4" t="s">
        <v>1214</v>
      </c>
      <c r="G20" s="4" t="s">
        <v>1224</v>
      </c>
      <c r="H20" s="4" t="s">
        <v>1224</v>
      </c>
      <c r="I20" s="4"/>
      <c r="J20" s="4"/>
      <c r="K20" s="4"/>
      <c r="L20" s="4"/>
      <c r="M20" s="4"/>
      <c r="N20" s="4"/>
      <c r="O20" s="4"/>
      <c r="P20" s="4"/>
      <c r="Q20" s="4"/>
      <c r="R20" s="3"/>
      <c r="S20" s="3" t="s">
        <v>1276</v>
      </c>
      <c r="T20" s="3" t="s">
        <v>1277</v>
      </c>
      <c r="U20" s="3" t="s">
        <v>1274</v>
      </c>
      <c r="V20" s="3" t="s">
        <v>1290</v>
      </c>
      <c r="W20" s="5" t="str">
        <f>IF($D20="","",VLOOKUP($B20,メインシート!$B$13:$D$18,2,0))</f>
        <v>青森</v>
      </c>
      <c r="X20" s="5"/>
      <c r="Z20" s="1" t="s">
        <v>1152</v>
      </c>
      <c r="AA20" s="1" t="s">
        <v>1153</v>
      </c>
    </row>
    <row r="21" spans="1:27" hidden="1" outlineLevel="1" x14ac:dyDescent="0.15">
      <c r="A21" s="9">
        <v>18</v>
      </c>
      <c r="B21" s="5">
        <f t="shared" si="0"/>
        <v>1</v>
      </c>
      <c r="C21" s="71">
        <f t="shared" si="1"/>
        <v>10118</v>
      </c>
      <c r="D21" s="72">
        <v>118</v>
      </c>
      <c r="E21" s="4" t="s">
        <v>1187</v>
      </c>
      <c r="F21" s="4" t="s">
        <v>1219</v>
      </c>
      <c r="G21" s="4" t="s">
        <v>1235</v>
      </c>
      <c r="H21" s="4" t="s">
        <v>1236</v>
      </c>
      <c r="I21" s="4"/>
      <c r="J21" s="4"/>
      <c r="K21" s="4"/>
      <c r="L21" s="4"/>
      <c r="M21" s="4"/>
      <c r="N21" s="4"/>
      <c r="O21" s="4"/>
      <c r="P21" s="4"/>
      <c r="Q21" s="4"/>
      <c r="R21" s="3"/>
      <c r="S21" s="3" t="s">
        <v>1298</v>
      </c>
      <c r="T21" s="3" t="s">
        <v>1299</v>
      </c>
      <c r="U21" s="3" t="s">
        <v>1296</v>
      </c>
      <c r="V21" s="3" t="s">
        <v>1297</v>
      </c>
      <c r="W21" s="5" t="str">
        <f>IF($D21="","",VLOOKUP($B21,メインシート!$B$13:$D$18,2,0))</f>
        <v>青森</v>
      </c>
      <c r="X21" s="5"/>
      <c r="Z21" s="1" t="s">
        <v>1156</v>
      </c>
      <c r="AA21" s="1" t="s">
        <v>1157</v>
      </c>
    </row>
    <row r="22" spans="1:27" hidden="1" outlineLevel="1" x14ac:dyDescent="0.15">
      <c r="A22" s="9">
        <v>19</v>
      </c>
      <c r="B22" s="5">
        <f t="shared" si="0"/>
        <v>1</v>
      </c>
      <c r="C22" s="71">
        <f t="shared" si="1"/>
        <v>10119</v>
      </c>
      <c r="D22" s="72">
        <v>119</v>
      </c>
      <c r="E22" s="4" t="s">
        <v>1190</v>
      </c>
      <c r="F22" s="4" t="s">
        <v>1222</v>
      </c>
      <c r="G22" s="4" t="s">
        <v>1241</v>
      </c>
      <c r="H22" s="4" t="s">
        <v>1242</v>
      </c>
      <c r="I22" s="4"/>
      <c r="J22" s="4"/>
      <c r="K22" s="4"/>
      <c r="L22" s="4"/>
      <c r="M22" s="4"/>
      <c r="N22" s="4"/>
      <c r="O22" s="4"/>
      <c r="P22" s="4"/>
      <c r="Q22" s="4"/>
      <c r="R22" s="3"/>
      <c r="S22" s="3"/>
      <c r="T22" s="3"/>
      <c r="U22" s="3"/>
      <c r="V22" s="3"/>
      <c r="W22" s="5" t="str">
        <f>IF($D22="","",VLOOKUP($B22,メインシート!$B$13:$D$18,2,0))</f>
        <v>青森</v>
      </c>
      <c r="X22" s="5"/>
      <c r="Z22" s="1" t="s">
        <v>1162</v>
      </c>
      <c r="AA22" s="1" t="s">
        <v>1163</v>
      </c>
    </row>
    <row r="23" spans="1:27" hidden="1" outlineLevel="1" x14ac:dyDescent="0.15">
      <c r="A23" s="9">
        <v>20</v>
      </c>
      <c r="B23" s="5">
        <f t="shared" si="0"/>
        <v>1</v>
      </c>
      <c r="C23" s="71">
        <f t="shared" si="1"/>
        <v>10120</v>
      </c>
      <c r="D23" s="72">
        <v>120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3"/>
      <c r="S23" s="3"/>
      <c r="T23" s="3"/>
      <c r="U23" s="3"/>
      <c r="V23" s="3"/>
      <c r="W23" s="5" t="str">
        <f>IF($D23="","",VLOOKUP($B23,メインシート!$B$13:$D$18,2,0))</f>
        <v>青森</v>
      </c>
      <c r="X23" s="5"/>
    </row>
    <row r="24" spans="1:27" hidden="1" outlineLevel="1" x14ac:dyDescent="0.15">
      <c r="A24" s="9">
        <v>21</v>
      </c>
      <c r="B24" s="5">
        <f t="shared" si="0"/>
        <v>1</v>
      </c>
      <c r="C24" s="71">
        <f t="shared" si="1"/>
        <v>10121</v>
      </c>
      <c r="D24" s="72">
        <v>121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3"/>
      <c r="S24" s="3"/>
      <c r="T24" s="3"/>
      <c r="U24" s="3"/>
      <c r="V24" s="3"/>
      <c r="W24" s="5" t="str">
        <f>IF($D24="","",VLOOKUP($B24,メインシート!$B$13:$D$18,2,0))</f>
        <v>青森</v>
      </c>
      <c r="X24" s="5"/>
    </row>
    <row r="25" spans="1:27" hidden="1" outlineLevel="1" x14ac:dyDescent="0.15">
      <c r="A25" s="9">
        <v>22</v>
      </c>
      <c r="B25" s="5">
        <f t="shared" si="0"/>
        <v>1</v>
      </c>
      <c r="C25" s="71">
        <f t="shared" si="1"/>
        <v>10122</v>
      </c>
      <c r="D25" s="72">
        <v>122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3"/>
      <c r="S25" s="3"/>
      <c r="T25" s="3"/>
      <c r="U25" s="3"/>
      <c r="V25" s="3"/>
      <c r="W25" s="5" t="str">
        <f>IF($D25="","",VLOOKUP($B25,メインシート!$B$13:$D$18,2,0))</f>
        <v>青森</v>
      </c>
      <c r="X25" s="5"/>
    </row>
    <row r="26" spans="1:27" hidden="1" outlineLevel="1" x14ac:dyDescent="0.15">
      <c r="A26" s="9">
        <v>23</v>
      </c>
      <c r="B26" s="5">
        <f t="shared" si="0"/>
        <v>1</v>
      </c>
      <c r="C26" s="71">
        <f t="shared" si="1"/>
        <v>10123</v>
      </c>
      <c r="D26" s="72">
        <v>123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3"/>
      <c r="S26" s="3"/>
      <c r="T26" s="3"/>
      <c r="U26" s="3"/>
      <c r="V26" s="3"/>
      <c r="W26" s="5" t="str">
        <f>IF($D26="","",VLOOKUP($B26,メインシート!$B$13:$D$18,2,0))</f>
        <v>青森</v>
      </c>
      <c r="X26" s="5"/>
    </row>
    <row r="27" spans="1:27" hidden="1" outlineLevel="1" x14ac:dyDescent="0.15">
      <c r="A27" s="9">
        <v>24</v>
      </c>
      <c r="B27" s="5">
        <f t="shared" si="0"/>
        <v>1</v>
      </c>
      <c r="C27" s="71">
        <f t="shared" si="1"/>
        <v>10124</v>
      </c>
      <c r="D27" s="72">
        <v>124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3"/>
      <c r="S27" s="3"/>
      <c r="T27" s="3"/>
      <c r="U27" s="3"/>
      <c r="V27" s="3"/>
      <c r="W27" s="5" t="str">
        <f>IF($D27="","",VLOOKUP($B27,メインシート!$B$13:$D$18,2,0))</f>
        <v>青森</v>
      </c>
      <c r="X27" s="5"/>
    </row>
    <row r="28" spans="1:27" hidden="1" outlineLevel="1" x14ac:dyDescent="0.15">
      <c r="A28" s="9">
        <v>25</v>
      </c>
      <c r="B28" s="5">
        <f t="shared" si="0"/>
        <v>1</v>
      </c>
      <c r="C28" s="71">
        <f t="shared" si="1"/>
        <v>10125</v>
      </c>
      <c r="D28" s="72">
        <v>125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3"/>
      <c r="S28" s="3"/>
      <c r="T28" s="3"/>
      <c r="U28" s="3"/>
      <c r="V28" s="3"/>
      <c r="W28" s="5" t="str">
        <f>IF($D28="","",VLOOKUP($B28,メインシート!$B$13:$D$18,2,0))</f>
        <v>青森</v>
      </c>
      <c r="X28" s="5"/>
    </row>
    <row r="29" spans="1:27" hidden="1" outlineLevel="1" x14ac:dyDescent="0.15">
      <c r="A29" s="9">
        <v>26</v>
      </c>
      <c r="B29" s="5">
        <f t="shared" si="0"/>
        <v>1</v>
      </c>
      <c r="C29" s="71">
        <f t="shared" si="1"/>
        <v>10126</v>
      </c>
      <c r="D29" s="72">
        <v>126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3"/>
      <c r="S29" s="3"/>
      <c r="T29" s="3"/>
      <c r="U29" s="3"/>
      <c r="V29" s="3"/>
      <c r="W29" s="5" t="str">
        <f>IF($D29="","",VLOOKUP($B29,メインシート!$B$13:$D$18,2,0))</f>
        <v>青森</v>
      </c>
      <c r="X29" s="5"/>
    </row>
    <row r="30" spans="1:27" hidden="1" outlineLevel="1" x14ac:dyDescent="0.15">
      <c r="A30" s="9">
        <v>27</v>
      </c>
      <c r="B30" s="5">
        <f t="shared" si="0"/>
        <v>1</v>
      </c>
      <c r="C30" s="71">
        <f t="shared" si="1"/>
        <v>10127</v>
      </c>
      <c r="D30" s="72">
        <v>127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3"/>
      <c r="S30" s="3"/>
      <c r="T30" s="3"/>
      <c r="U30" s="3"/>
      <c r="V30" s="3"/>
      <c r="W30" s="5" t="str">
        <f>IF($D30="","",VLOOKUP($B30,メインシート!$B$13:$D$18,2,0))</f>
        <v>青森</v>
      </c>
      <c r="X30" s="5"/>
    </row>
    <row r="31" spans="1:27" hidden="1" outlineLevel="1" x14ac:dyDescent="0.15">
      <c r="A31" s="9">
        <v>28</v>
      </c>
      <c r="B31" s="5">
        <f t="shared" si="0"/>
        <v>1</v>
      </c>
      <c r="C31" s="71">
        <f t="shared" si="1"/>
        <v>10128</v>
      </c>
      <c r="D31" s="72">
        <v>128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/>
      <c r="S31" s="3"/>
      <c r="T31" s="3"/>
      <c r="U31" s="3"/>
      <c r="V31" s="3"/>
      <c r="W31" s="5" t="str">
        <f>IF($D31="","",VLOOKUP($B31,メインシート!$B$13:$D$18,2,0))</f>
        <v>青森</v>
      </c>
      <c r="X31" s="5"/>
    </row>
    <row r="32" spans="1:27" hidden="1" outlineLevel="1" x14ac:dyDescent="0.15">
      <c r="A32" s="9">
        <v>29</v>
      </c>
      <c r="B32" s="5">
        <f t="shared" si="0"/>
        <v>1</v>
      </c>
      <c r="C32" s="71">
        <f t="shared" si="1"/>
        <v>10129</v>
      </c>
      <c r="D32" s="72">
        <v>129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/>
      <c r="S32" s="3"/>
      <c r="T32" s="3"/>
      <c r="U32" s="3"/>
      <c r="V32" s="3"/>
      <c r="W32" s="5" t="str">
        <f>IF($D32="","",VLOOKUP($B32,メインシート!$B$13:$D$18,2,0))</f>
        <v>青森</v>
      </c>
      <c r="X32" s="5"/>
    </row>
    <row r="33" spans="1:24" hidden="1" outlineLevel="1" x14ac:dyDescent="0.15">
      <c r="A33" s="9">
        <v>30</v>
      </c>
      <c r="B33" s="5">
        <f t="shared" si="0"/>
        <v>1</v>
      </c>
      <c r="C33" s="71">
        <f t="shared" si="1"/>
        <v>10130</v>
      </c>
      <c r="D33" s="72">
        <v>130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3"/>
      <c r="S33" s="3"/>
      <c r="T33" s="3"/>
      <c r="U33" s="3"/>
      <c r="V33" s="3"/>
      <c r="W33" s="5" t="str">
        <f>IF($D33="","",VLOOKUP($B33,メインシート!$B$13:$D$18,2,0))</f>
        <v>青森</v>
      </c>
      <c r="X33" s="5"/>
    </row>
    <row r="34" spans="1:24" hidden="1" outlineLevel="1" x14ac:dyDescent="0.15">
      <c r="A34" s="9">
        <v>31</v>
      </c>
      <c r="B34" s="5">
        <f t="shared" si="0"/>
        <v>1</v>
      </c>
      <c r="C34" s="71">
        <f t="shared" si="1"/>
        <v>10131</v>
      </c>
      <c r="D34" s="72">
        <v>131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3"/>
      <c r="S34" s="3"/>
      <c r="T34" s="3"/>
      <c r="U34" s="3"/>
      <c r="V34" s="3"/>
      <c r="W34" s="5" t="str">
        <f>IF($D34="","",VLOOKUP($B34,メインシート!$B$13:$D$18,2,0))</f>
        <v>青森</v>
      </c>
      <c r="X34" s="5"/>
    </row>
    <row r="35" spans="1:24" hidden="1" outlineLevel="1" x14ac:dyDescent="0.15">
      <c r="A35" s="9">
        <v>32</v>
      </c>
      <c r="B35" s="5">
        <f t="shared" si="0"/>
        <v>1</v>
      </c>
      <c r="C35" s="71">
        <f t="shared" si="1"/>
        <v>10132</v>
      </c>
      <c r="D35" s="72">
        <v>132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3"/>
      <c r="S35" s="3"/>
      <c r="T35" s="3"/>
      <c r="U35" s="3"/>
      <c r="V35" s="3"/>
      <c r="W35" s="5" t="str">
        <f>IF($D35="","",VLOOKUP($B35,メインシート!$B$13:$D$18,2,0))</f>
        <v>青森</v>
      </c>
      <c r="X35" s="5"/>
    </row>
    <row r="36" spans="1:24" hidden="1" outlineLevel="1" x14ac:dyDescent="0.15">
      <c r="A36" s="9">
        <v>33</v>
      </c>
      <c r="B36" s="5">
        <f t="shared" si="0"/>
        <v>1</v>
      </c>
      <c r="C36" s="71">
        <f t="shared" si="1"/>
        <v>10133</v>
      </c>
      <c r="D36" s="72">
        <v>133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3"/>
      <c r="S36" s="3"/>
      <c r="T36" s="3"/>
      <c r="U36" s="3"/>
      <c r="V36" s="3"/>
      <c r="W36" s="5" t="str">
        <f>IF($D36="","",VLOOKUP($B36,メインシート!$B$13:$D$18,2,0))</f>
        <v>青森</v>
      </c>
      <c r="X36" s="5"/>
    </row>
    <row r="37" spans="1:24" hidden="1" outlineLevel="1" x14ac:dyDescent="0.15">
      <c r="A37" s="9">
        <v>34</v>
      </c>
      <c r="B37" s="5">
        <f t="shared" si="0"/>
        <v>1</v>
      </c>
      <c r="C37" s="71">
        <f t="shared" si="1"/>
        <v>10134</v>
      </c>
      <c r="D37" s="72">
        <v>134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3"/>
      <c r="S37" s="3"/>
      <c r="T37" s="3"/>
      <c r="U37" s="3"/>
      <c r="V37" s="3"/>
      <c r="W37" s="5" t="str">
        <f>IF($D37="","",VLOOKUP($B37,メインシート!$B$13:$D$18,2,0))</f>
        <v>青森</v>
      </c>
      <c r="X37" s="5"/>
    </row>
    <row r="38" spans="1:24" hidden="1" outlineLevel="1" x14ac:dyDescent="0.15">
      <c r="A38" s="9">
        <v>35</v>
      </c>
      <c r="B38" s="5">
        <f t="shared" si="0"/>
        <v>1</v>
      </c>
      <c r="C38" s="71">
        <f t="shared" si="1"/>
        <v>10135</v>
      </c>
      <c r="D38" s="72">
        <v>135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3"/>
      <c r="S38" s="3"/>
      <c r="T38" s="3"/>
      <c r="U38" s="3"/>
      <c r="V38" s="3"/>
      <c r="W38" s="5" t="str">
        <f>IF($D38="","",VLOOKUP($B38,メインシート!$B$13:$D$18,2,0))</f>
        <v>青森</v>
      </c>
      <c r="X38" s="5"/>
    </row>
    <row r="39" spans="1:24" hidden="1" outlineLevel="1" x14ac:dyDescent="0.15">
      <c r="A39" s="9">
        <v>36</v>
      </c>
      <c r="B39" s="5">
        <f t="shared" si="0"/>
        <v>1</v>
      </c>
      <c r="C39" s="71">
        <f t="shared" si="1"/>
        <v>10136</v>
      </c>
      <c r="D39" s="72">
        <v>136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3"/>
      <c r="S39" s="3"/>
      <c r="T39" s="3"/>
      <c r="U39" s="3"/>
      <c r="V39" s="3"/>
      <c r="W39" s="5" t="str">
        <f>IF($D39="","",VLOOKUP($B39,メインシート!$B$13:$D$18,2,0))</f>
        <v>青森</v>
      </c>
      <c r="X39" s="5"/>
    </row>
    <row r="40" spans="1:24" hidden="1" outlineLevel="1" x14ac:dyDescent="0.15">
      <c r="A40" s="9">
        <v>37</v>
      </c>
      <c r="B40" s="5">
        <f t="shared" si="0"/>
        <v>1</v>
      </c>
      <c r="C40" s="71">
        <f t="shared" si="1"/>
        <v>10137</v>
      </c>
      <c r="D40" s="72">
        <v>137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3"/>
      <c r="S40" s="3"/>
      <c r="T40" s="3"/>
      <c r="U40" s="3"/>
      <c r="V40" s="3"/>
      <c r="W40" s="5" t="str">
        <f>IF($D40="","",VLOOKUP($B40,メインシート!$B$13:$D$18,2,0))</f>
        <v>青森</v>
      </c>
      <c r="X40" s="5"/>
    </row>
    <row r="41" spans="1:24" hidden="1" outlineLevel="1" x14ac:dyDescent="0.15">
      <c r="A41" s="9">
        <v>38</v>
      </c>
      <c r="B41" s="5">
        <f t="shared" si="0"/>
        <v>1</v>
      </c>
      <c r="C41" s="71">
        <f t="shared" si="1"/>
        <v>10138</v>
      </c>
      <c r="D41" s="72">
        <v>138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3"/>
      <c r="S41" s="3"/>
      <c r="T41" s="3"/>
      <c r="U41" s="3"/>
      <c r="V41" s="3"/>
      <c r="W41" s="5" t="str">
        <f>IF($D41="","",VLOOKUP($B41,メインシート!$B$13:$D$18,2,0))</f>
        <v>青森</v>
      </c>
      <c r="X41" s="5"/>
    </row>
    <row r="42" spans="1:24" hidden="1" outlineLevel="1" x14ac:dyDescent="0.15">
      <c r="A42" s="9">
        <v>39</v>
      </c>
      <c r="B42" s="5">
        <f t="shared" si="0"/>
        <v>1</v>
      </c>
      <c r="C42" s="71">
        <f t="shared" si="1"/>
        <v>10139</v>
      </c>
      <c r="D42" s="72">
        <v>139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3"/>
      <c r="S42" s="3"/>
      <c r="T42" s="3"/>
      <c r="U42" s="3"/>
      <c r="V42" s="3"/>
      <c r="W42" s="5" t="str">
        <f>IF($D42="","",VLOOKUP($B42,メインシート!$B$13:$D$18,2,0))</f>
        <v>青森</v>
      </c>
      <c r="X42" s="5"/>
    </row>
    <row r="43" spans="1:24" hidden="1" outlineLevel="1" x14ac:dyDescent="0.15">
      <c r="A43" s="9">
        <v>40</v>
      </c>
      <c r="B43" s="5">
        <f t="shared" si="0"/>
        <v>1</v>
      </c>
      <c r="C43" s="71">
        <f t="shared" si="1"/>
        <v>10140</v>
      </c>
      <c r="D43" s="72">
        <v>140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3"/>
      <c r="S43" s="3"/>
      <c r="T43" s="3"/>
      <c r="U43" s="3"/>
      <c r="V43" s="3"/>
      <c r="W43" s="5" t="str">
        <f>IF($D43="","",VLOOKUP($B43,メインシート!$B$13:$D$18,2,0))</f>
        <v>青森</v>
      </c>
      <c r="X43" s="5"/>
    </row>
    <row r="44" spans="1:24" hidden="1" outlineLevel="1" x14ac:dyDescent="0.15">
      <c r="A44" s="9">
        <v>41</v>
      </c>
      <c r="B44" s="5">
        <f t="shared" si="0"/>
        <v>1</v>
      </c>
      <c r="C44" s="71">
        <f t="shared" si="1"/>
        <v>10141</v>
      </c>
      <c r="D44" s="72">
        <v>141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3"/>
      <c r="S44" s="3"/>
      <c r="T44" s="3"/>
      <c r="U44" s="3"/>
      <c r="V44" s="3"/>
      <c r="W44" s="5" t="str">
        <f>IF($D44="","",VLOOKUP($B44,メインシート!$B$13:$D$18,2,0))</f>
        <v>青森</v>
      </c>
      <c r="X44" s="5"/>
    </row>
    <row r="45" spans="1:24" hidden="1" outlineLevel="1" x14ac:dyDescent="0.15">
      <c r="A45" s="9">
        <v>42</v>
      </c>
      <c r="B45" s="5">
        <f t="shared" si="0"/>
        <v>1</v>
      </c>
      <c r="C45" s="71">
        <f t="shared" si="1"/>
        <v>10142</v>
      </c>
      <c r="D45" s="72">
        <v>142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3"/>
      <c r="S45" s="3"/>
      <c r="T45" s="3"/>
      <c r="U45" s="3"/>
      <c r="V45" s="3"/>
      <c r="W45" s="5" t="str">
        <f>IF($D45="","",VLOOKUP($B45,メインシート!$B$13:$D$18,2,0))</f>
        <v>青森</v>
      </c>
      <c r="X45" s="5"/>
    </row>
    <row r="46" spans="1:24" hidden="1" outlineLevel="1" x14ac:dyDescent="0.15">
      <c r="A46" s="9">
        <v>43</v>
      </c>
      <c r="B46" s="5">
        <f t="shared" si="0"/>
        <v>1</v>
      </c>
      <c r="C46" s="71">
        <f t="shared" si="1"/>
        <v>10143</v>
      </c>
      <c r="D46" s="72">
        <v>143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3"/>
      <c r="S46" s="3"/>
      <c r="T46" s="3"/>
      <c r="U46" s="3"/>
      <c r="V46" s="3"/>
      <c r="W46" s="5" t="str">
        <f>IF($D46="","",VLOOKUP($B46,メインシート!$B$13:$D$18,2,0))</f>
        <v>青森</v>
      </c>
      <c r="X46" s="5"/>
    </row>
    <row r="47" spans="1:24" hidden="1" outlineLevel="1" x14ac:dyDescent="0.15">
      <c r="A47" s="9">
        <v>44</v>
      </c>
      <c r="B47" s="5">
        <f t="shared" si="0"/>
        <v>1</v>
      </c>
      <c r="C47" s="71">
        <f t="shared" si="1"/>
        <v>10144</v>
      </c>
      <c r="D47" s="72">
        <v>144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3"/>
      <c r="S47" s="3"/>
      <c r="T47" s="3"/>
      <c r="U47" s="3"/>
      <c r="V47" s="3"/>
      <c r="W47" s="5" t="str">
        <f>IF($D47="","",VLOOKUP($B47,メインシート!$B$13:$D$18,2,0))</f>
        <v>青森</v>
      </c>
      <c r="X47" s="5"/>
    </row>
    <row r="48" spans="1:24" hidden="1" outlineLevel="1" x14ac:dyDescent="0.15">
      <c r="A48" s="9">
        <v>45</v>
      </c>
      <c r="B48" s="5">
        <f t="shared" si="0"/>
        <v>1</v>
      </c>
      <c r="C48" s="71">
        <f t="shared" si="1"/>
        <v>10145</v>
      </c>
      <c r="D48" s="72">
        <v>145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3"/>
      <c r="S48" s="3"/>
      <c r="T48" s="3"/>
      <c r="U48" s="3"/>
      <c r="V48" s="3"/>
      <c r="W48" s="5" t="str">
        <f>IF($D48="","",VLOOKUP($B48,メインシート!$B$13:$D$18,2,0))</f>
        <v>青森</v>
      </c>
      <c r="X48" s="5"/>
    </row>
    <row r="49" spans="1:27" hidden="1" outlineLevel="1" x14ac:dyDescent="0.15">
      <c r="A49" s="9">
        <v>46</v>
      </c>
      <c r="B49" s="5">
        <f t="shared" si="0"/>
        <v>1</v>
      </c>
      <c r="C49" s="71">
        <f t="shared" si="1"/>
        <v>10146</v>
      </c>
      <c r="D49" s="72">
        <v>146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3"/>
      <c r="S49" s="3"/>
      <c r="T49" s="3"/>
      <c r="U49" s="3"/>
      <c r="V49" s="3"/>
      <c r="W49" s="5" t="str">
        <f>IF($D49="","",VLOOKUP($B49,メインシート!$B$13:$D$18,2,0))</f>
        <v>青森</v>
      </c>
      <c r="X49" s="5"/>
    </row>
    <row r="50" spans="1:27" hidden="1" outlineLevel="1" x14ac:dyDescent="0.15">
      <c r="A50" s="9">
        <v>47</v>
      </c>
      <c r="B50" s="5">
        <f t="shared" si="0"/>
        <v>1</v>
      </c>
      <c r="C50" s="71">
        <f t="shared" si="1"/>
        <v>10147</v>
      </c>
      <c r="D50" s="72">
        <v>147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3"/>
      <c r="S50" s="3"/>
      <c r="T50" s="3"/>
      <c r="U50" s="3"/>
      <c r="V50" s="3"/>
      <c r="W50" s="5" t="str">
        <f>IF($D50="","",VLOOKUP($B50,メインシート!$B$13:$D$18,2,0))</f>
        <v>青森</v>
      </c>
      <c r="X50" s="5"/>
    </row>
    <row r="51" spans="1:27" hidden="1" outlineLevel="1" x14ac:dyDescent="0.15">
      <c r="A51" s="9">
        <v>48</v>
      </c>
      <c r="B51" s="5">
        <f t="shared" si="0"/>
        <v>1</v>
      </c>
      <c r="C51" s="71">
        <f t="shared" si="1"/>
        <v>10148</v>
      </c>
      <c r="D51" s="72">
        <v>148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3"/>
      <c r="S51" s="3"/>
      <c r="T51" s="3"/>
      <c r="U51" s="3"/>
      <c r="V51" s="3"/>
      <c r="W51" s="5" t="str">
        <f>IF($D51="","",VLOOKUP($B51,メインシート!$B$13:$D$18,2,0))</f>
        <v>青森</v>
      </c>
      <c r="X51" s="5"/>
    </row>
    <row r="52" spans="1:27" hidden="1" outlineLevel="1" x14ac:dyDescent="0.15">
      <c r="A52" s="9">
        <v>49</v>
      </c>
      <c r="B52" s="5">
        <f t="shared" si="0"/>
        <v>1</v>
      </c>
      <c r="C52" s="71">
        <f t="shared" si="1"/>
        <v>10149</v>
      </c>
      <c r="D52" s="72">
        <v>149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"/>
      <c r="S52" s="3"/>
      <c r="T52" s="3"/>
      <c r="U52" s="3"/>
      <c r="V52" s="3"/>
      <c r="W52" s="5" t="str">
        <f>IF($D52="","",VLOOKUP($B52,メインシート!$B$13:$D$18,2,0))</f>
        <v>青森</v>
      </c>
      <c r="X52" s="5"/>
    </row>
    <row r="53" spans="1:27" hidden="1" outlineLevel="1" x14ac:dyDescent="0.15">
      <c r="A53" s="9">
        <v>50</v>
      </c>
      <c r="B53" s="5">
        <f t="shared" si="0"/>
        <v>1</v>
      </c>
      <c r="C53" s="71">
        <f t="shared" si="1"/>
        <v>10150</v>
      </c>
      <c r="D53" s="72">
        <v>150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3"/>
      <c r="S53" s="3"/>
      <c r="T53" s="3"/>
      <c r="U53" s="3"/>
      <c r="V53" s="3"/>
      <c r="W53" s="5" t="str">
        <f>IF($D53="","",VLOOKUP($B53,メインシート!$B$13:$D$18,2,0))</f>
        <v>青森</v>
      </c>
      <c r="X53" s="5"/>
    </row>
    <row r="54" spans="1:27" hidden="1" outlineLevel="1" x14ac:dyDescent="0.15">
      <c r="A54" s="9">
        <v>51</v>
      </c>
      <c r="B54" s="71">
        <v>2</v>
      </c>
      <c r="C54" s="71">
        <f t="shared" si="1"/>
        <v>20101</v>
      </c>
      <c r="D54" s="72">
        <v>101</v>
      </c>
      <c r="E54" s="4" t="s">
        <v>1393</v>
      </c>
      <c r="F54" s="4" t="s">
        <v>2561</v>
      </c>
      <c r="G54" s="4" t="s">
        <v>2586</v>
      </c>
      <c r="H54" s="4" t="s">
        <v>2611</v>
      </c>
      <c r="I54" s="4"/>
      <c r="J54" s="4"/>
      <c r="K54" s="4"/>
      <c r="L54" s="4"/>
      <c r="M54" s="4"/>
      <c r="N54" s="4"/>
      <c r="O54" s="4"/>
      <c r="P54" s="4"/>
      <c r="Q54" s="4"/>
      <c r="R54" s="3"/>
      <c r="S54" s="3" t="s">
        <v>1471</v>
      </c>
      <c r="T54" s="3" t="s">
        <v>1472</v>
      </c>
      <c r="U54" s="3" t="s">
        <v>1469</v>
      </c>
      <c r="V54" s="3" t="s">
        <v>1470</v>
      </c>
      <c r="W54" s="5" t="str">
        <f>IF($D54="","",VLOOKUP($B54,メインシート!$B$13:$D$18,2,0))</f>
        <v>岩手</v>
      </c>
      <c r="X54" s="5"/>
      <c r="Z54" s="1" t="s">
        <v>1359</v>
      </c>
      <c r="AA54" s="1" t="s">
        <v>1360</v>
      </c>
    </row>
    <row r="55" spans="1:27" hidden="1" outlineLevel="1" x14ac:dyDescent="0.15">
      <c r="A55" s="9">
        <v>52</v>
      </c>
      <c r="B55" s="5">
        <f t="shared" si="0"/>
        <v>2</v>
      </c>
      <c r="C55" s="71">
        <f t="shared" si="1"/>
        <v>20102</v>
      </c>
      <c r="D55" s="72">
        <v>102</v>
      </c>
      <c r="E55" s="4" t="s">
        <v>1382</v>
      </c>
      <c r="F55" s="4" t="s">
        <v>2562</v>
      </c>
      <c r="G55" s="4" t="s">
        <v>2587</v>
      </c>
      <c r="H55" s="4" t="s">
        <v>2612</v>
      </c>
      <c r="I55" s="4"/>
      <c r="J55" s="4"/>
      <c r="K55" s="4"/>
      <c r="L55" s="4"/>
      <c r="M55" s="4"/>
      <c r="N55" s="4"/>
      <c r="O55" s="4"/>
      <c r="P55" s="4"/>
      <c r="Q55" s="4"/>
      <c r="R55" s="3"/>
      <c r="S55" s="3" t="s">
        <v>1488</v>
      </c>
      <c r="T55" s="3" t="s">
        <v>1488</v>
      </c>
      <c r="U55" s="3" t="s">
        <v>1486</v>
      </c>
      <c r="V55" s="3" t="s">
        <v>1487</v>
      </c>
      <c r="W55" s="5" t="str">
        <f>IF($D55="","",VLOOKUP($B55,メインシート!$B$13:$D$18,2,0))</f>
        <v>岩手</v>
      </c>
      <c r="X55" s="5"/>
      <c r="Z55" s="1" t="s">
        <v>1357</v>
      </c>
      <c r="AA55" s="1" t="s">
        <v>1358</v>
      </c>
    </row>
    <row r="56" spans="1:27" hidden="1" outlineLevel="1" x14ac:dyDescent="0.15">
      <c r="A56" s="9">
        <v>53</v>
      </c>
      <c r="B56" s="5">
        <f t="shared" si="0"/>
        <v>2</v>
      </c>
      <c r="C56" s="71">
        <f t="shared" si="1"/>
        <v>20103</v>
      </c>
      <c r="D56" s="72">
        <v>103</v>
      </c>
      <c r="E56" s="4" t="s">
        <v>1383</v>
      </c>
      <c r="F56" s="4" t="s">
        <v>2563</v>
      </c>
      <c r="G56" s="4" t="s">
        <v>2588</v>
      </c>
      <c r="H56" s="4" t="s">
        <v>2613</v>
      </c>
      <c r="I56" s="4"/>
      <c r="J56" s="4"/>
      <c r="K56" s="4"/>
      <c r="L56" s="4"/>
      <c r="M56" s="4"/>
      <c r="N56" s="4"/>
      <c r="O56" s="4"/>
      <c r="P56" s="4"/>
      <c r="Q56" s="4"/>
      <c r="R56" s="3"/>
      <c r="S56" s="3" t="s">
        <v>1484</v>
      </c>
      <c r="T56" s="3" t="s">
        <v>1485</v>
      </c>
      <c r="U56" s="3" t="s">
        <v>1482</v>
      </c>
      <c r="V56" s="3" t="s">
        <v>1483</v>
      </c>
      <c r="W56" s="5" t="str">
        <f>IF($D56="","",VLOOKUP($B56,メインシート!$B$13:$D$18,2,0))</f>
        <v>岩手</v>
      </c>
      <c r="X56" s="5"/>
      <c r="Z56" s="1" t="s">
        <v>1367</v>
      </c>
      <c r="AA56" s="1" t="s">
        <v>1368</v>
      </c>
    </row>
    <row r="57" spans="1:27" hidden="1" outlineLevel="1" x14ac:dyDescent="0.15">
      <c r="A57" s="9">
        <v>54</v>
      </c>
      <c r="B57" s="5">
        <f t="shared" si="0"/>
        <v>2</v>
      </c>
      <c r="C57" s="71">
        <f t="shared" si="1"/>
        <v>20104</v>
      </c>
      <c r="D57" s="72">
        <v>104</v>
      </c>
      <c r="E57" s="4" t="s">
        <v>1395</v>
      </c>
      <c r="F57" s="4" t="s">
        <v>2564</v>
      </c>
      <c r="G57" s="4" t="s">
        <v>2589</v>
      </c>
      <c r="H57" s="4" t="s">
        <v>2614</v>
      </c>
      <c r="I57" s="4"/>
      <c r="J57" s="4"/>
      <c r="K57" s="4"/>
      <c r="L57" s="4"/>
      <c r="M57" s="4"/>
      <c r="N57" s="4"/>
      <c r="O57" s="4"/>
      <c r="P57" s="4"/>
      <c r="Q57" s="4"/>
      <c r="R57" s="3"/>
      <c r="S57" s="3" t="s">
        <v>1475</v>
      </c>
      <c r="T57" s="3" t="s">
        <v>1476</v>
      </c>
      <c r="U57" s="3" t="s">
        <v>1473</v>
      </c>
      <c r="V57" s="3" t="s">
        <v>1474</v>
      </c>
      <c r="W57" s="5" t="str">
        <f>IF($D57="","",VLOOKUP($B57,メインシート!$B$13:$D$18,2,0))</f>
        <v>岩手</v>
      </c>
      <c r="X57" s="5"/>
      <c r="Z57" s="1" t="s">
        <v>1361</v>
      </c>
      <c r="AA57" s="1" t="s">
        <v>1362</v>
      </c>
    </row>
    <row r="58" spans="1:27" hidden="1" outlineLevel="1" x14ac:dyDescent="0.15">
      <c r="A58" s="9">
        <v>55</v>
      </c>
      <c r="B58" s="5">
        <f t="shared" si="0"/>
        <v>2</v>
      </c>
      <c r="C58" s="71">
        <f t="shared" si="1"/>
        <v>20105</v>
      </c>
      <c r="D58" s="72">
        <v>105</v>
      </c>
      <c r="E58" s="4" t="s">
        <v>1394</v>
      </c>
      <c r="F58" s="4" t="s">
        <v>2639</v>
      </c>
      <c r="G58" s="4" t="s">
        <v>2640</v>
      </c>
      <c r="H58" s="4" t="s">
        <v>2641</v>
      </c>
      <c r="I58" s="4"/>
      <c r="J58" s="4"/>
      <c r="K58" s="4"/>
      <c r="L58" s="4"/>
      <c r="M58" s="4"/>
      <c r="N58" s="4"/>
      <c r="O58" s="4"/>
      <c r="P58" s="4"/>
      <c r="Q58" s="4"/>
      <c r="R58" s="3"/>
      <c r="S58" s="3" t="s">
        <v>1408</v>
      </c>
      <c r="T58" s="3" t="s">
        <v>1409</v>
      </c>
      <c r="U58" s="3" t="s">
        <v>1406</v>
      </c>
      <c r="V58" s="3" t="s">
        <v>1407</v>
      </c>
      <c r="W58" s="5" t="str">
        <f>IF($D58="","",VLOOKUP($B58,メインシート!$B$13:$D$18,2,0))</f>
        <v>岩手</v>
      </c>
      <c r="X58" s="5"/>
      <c r="Z58" s="1" t="s">
        <v>1324</v>
      </c>
      <c r="AA58" s="1" t="s">
        <v>1325</v>
      </c>
    </row>
    <row r="59" spans="1:27" hidden="1" outlineLevel="1" x14ac:dyDescent="0.15">
      <c r="A59" s="9">
        <v>56</v>
      </c>
      <c r="B59" s="5">
        <f t="shared" si="0"/>
        <v>2</v>
      </c>
      <c r="C59" s="71">
        <f t="shared" si="1"/>
        <v>20106</v>
      </c>
      <c r="D59" s="72">
        <v>106</v>
      </c>
      <c r="E59" s="4" t="s">
        <v>1392</v>
      </c>
      <c r="F59" s="4" t="s">
        <v>2565</v>
      </c>
      <c r="G59" s="4" t="s">
        <v>2590</v>
      </c>
      <c r="H59" s="4" t="s">
        <v>2615</v>
      </c>
      <c r="I59" s="4"/>
      <c r="J59" s="4"/>
      <c r="K59" s="4"/>
      <c r="L59" s="4"/>
      <c r="M59" s="4"/>
      <c r="N59" s="4"/>
      <c r="O59" s="4"/>
      <c r="P59" s="4"/>
      <c r="Q59" s="4"/>
      <c r="R59" s="3"/>
      <c r="S59" s="3" t="s">
        <v>1431</v>
      </c>
      <c r="T59" s="3" t="s">
        <v>1432</v>
      </c>
      <c r="U59" s="3" t="s">
        <v>1430</v>
      </c>
      <c r="V59" s="3" t="s">
        <v>1468</v>
      </c>
      <c r="W59" s="5" t="str">
        <f>IF($D59="","",VLOOKUP($B59,メインシート!$B$13:$D$18,2,0))</f>
        <v>岩手</v>
      </c>
      <c r="X59" s="5"/>
      <c r="Z59" s="1" t="s">
        <v>1337</v>
      </c>
      <c r="AA59" s="1" t="s">
        <v>1338</v>
      </c>
    </row>
    <row r="60" spans="1:27" hidden="1" outlineLevel="1" x14ac:dyDescent="0.15">
      <c r="A60" s="9">
        <v>57</v>
      </c>
      <c r="B60" s="5">
        <f t="shared" si="0"/>
        <v>2</v>
      </c>
      <c r="C60" s="71">
        <f t="shared" si="1"/>
        <v>20107</v>
      </c>
      <c r="D60" s="72">
        <v>107</v>
      </c>
      <c r="E60" s="4" t="s">
        <v>1375</v>
      </c>
      <c r="F60" s="4" t="s">
        <v>2566</v>
      </c>
      <c r="G60" s="4" t="s">
        <v>2591</v>
      </c>
      <c r="H60" s="4" t="s">
        <v>2616</v>
      </c>
      <c r="I60" s="4"/>
      <c r="J60" s="4"/>
      <c r="K60" s="4"/>
      <c r="L60" s="4"/>
      <c r="M60" s="4"/>
      <c r="N60" s="4"/>
      <c r="O60" s="4"/>
      <c r="P60" s="4"/>
      <c r="Q60" s="4"/>
      <c r="R60" s="3"/>
      <c r="S60" s="3"/>
      <c r="T60" s="3"/>
      <c r="U60" s="3" t="s">
        <v>1418</v>
      </c>
      <c r="V60" s="3" t="s">
        <v>1419</v>
      </c>
      <c r="W60" s="5" t="str">
        <f>IF($D60="","",VLOOKUP($B60,メインシート!$B$13:$D$18,2,0))</f>
        <v>岩手</v>
      </c>
      <c r="X60" s="5"/>
      <c r="Z60" s="1" t="s">
        <v>1329</v>
      </c>
      <c r="AA60" s="1" t="s">
        <v>1330</v>
      </c>
    </row>
    <row r="61" spans="1:27" hidden="1" outlineLevel="1" x14ac:dyDescent="0.15">
      <c r="A61" s="9">
        <v>58</v>
      </c>
      <c r="B61" s="5">
        <f t="shared" si="0"/>
        <v>2</v>
      </c>
      <c r="C61" s="71">
        <f t="shared" si="1"/>
        <v>20108</v>
      </c>
      <c r="D61" s="72">
        <v>108</v>
      </c>
      <c r="E61" s="4" t="s">
        <v>1376</v>
      </c>
      <c r="F61" s="4" t="s">
        <v>2567</v>
      </c>
      <c r="G61" s="4" t="s">
        <v>2592</v>
      </c>
      <c r="H61" s="4" t="s">
        <v>2617</v>
      </c>
      <c r="I61" s="4"/>
      <c r="J61" s="4"/>
      <c r="K61" s="4"/>
      <c r="L61" s="4"/>
      <c r="M61" s="4"/>
      <c r="N61" s="4"/>
      <c r="O61" s="4"/>
      <c r="P61" s="4"/>
      <c r="Q61" s="4"/>
      <c r="R61" s="3"/>
      <c r="S61" s="3" t="s">
        <v>1428</v>
      </c>
      <c r="T61" s="3" t="s">
        <v>1429</v>
      </c>
      <c r="U61" s="3" t="s">
        <v>1427</v>
      </c>
      <c r="V61" s="3" t="s">
        <v>1448</v>
      </c>
      <c r="W61" s="5" t="str">
        <f>IF($D61="","",VLOOKUP($B61,メインシート!$B$13:$D$18,2,0))</f>
        <v>岩手</v>
      </c>
      <c r="X61" s="5"/>
      <c r="Z61" s="1" t="s">
        <v>1335</v>
      </c>
      <c r="AA61" s="1" t="s">
        <v>1336</v>
      </c>
    </row>
    <row r="62" spans="1:27" hidden="1" outlineLevel="1" x14ac:dyDescent="0.15">
      <c r="A62" s="9">
        <v>59</v>
      </c>
      <c r="B62" s="5">
        <f t="shared" si="0"/>
        <v>2</v>
      </c>
      <c r="C62" s="71">
        <f t="shared" si="1"/>
        <v>20109</v>
      </c>
      <c r="D62" s="72">
        <v>109</v>
      </c>
      <c r="E62" s="4" t="s">
        <v>1373</v>
      </c>
      <c r="F62" s="4" t="s">
        <v>2568</v>
      </c>
      <c r="G62" s="4" t="s">
        <v>2593</v>
      </c>
      <c r="H62" s="4" t="s">
        <v>2618</v>
      </c>
      <c r="I62" s="4"/>
      <c r="J62" s="4"/>
      <c r="K62" s="4"/>
      <c r="L62" s="4"/>
      <c r="M62" s="4"/>
      <c r="N62" s="4"/>
      <c r="O62" s="4"/>
      <c r="P62" s="4"/>
      <c r="Q62" s="4"/>
      <c r="R62" s="3"/>
      <c r="S62" s="3" t="s">
        <v>1445</v>
      </c>
      <c r="T62" s="3" t="s">
        <v>1446</v>
      </c>
      <c r="U62" s="3" t="s">
        <v>1444</v>
      </c>
      <c r="V62" s="3" t="s">
        <v>1447</v>
      </c>
      <c r="W62" s="5" t="str">
        <f>IF($D62="","",VLOOKUP($B62,メインシート!$B$13:$D$18,2,0))</f>
        <v>岩手</v>
      </c>
      <c r="X62" s="5"/>
      <c r="Z62" s="1" t="s">
        <v>1345</v>
      </c>
      <c r="AA62" s="1" t="s">
        <v>1346</v>
      </c>
    </row>
    <row r="63" spans="1:27" hidden="1" outlineLevel="1" x14ac:dyDescent="0.15">
      <c r="A63" s="9">
        <v>60</v>
      </c>
      <c r="B63" s="5">
        <f t="shared" si="0"/>
        <v>2</v>
      </c>
      <c r="C63" s="71">
        <f t="shared" si="1"/>
        <v>20110</v>
      </c>
      <c r="D63" s="72">
        <v>110</v>
      </c>
      <c r="E63" s="4" t="s">
        <v>1378</v>
      </c>
      <c r="F63" s="4" t="s">
        <v>2569</v>
      </c>
      <c r="G63" s="4" t="s">
        <v>2594</v>
      </c>
      <c r="H63" s="4" t="s">
        <v>2619</v>
      </c>
      <c r="I63" s="4"/>
      <c r="J63" s="4"/>
      <c r="K63" s="4"/>
      <c r="L63" s="4"/>
      <c r="M63" s="4"/>
      <c r="N63" s="4"/>
      <c r="O63" s="4"/>
      <c r="P63" s="4"/>
      <c r="Q63" s="4"/>
      <c r="R63" s="3"/>
      <c r="S63" s="3" t="s">
        <v>1404</v>
      </c>
      <c r="T63" s="3" t="s">
        <v>1405</v>
      </c>
      <c r="U63" s="3" t="s">
        <v>1402</v>
      </c>
      <c r="V63" s="3" t="s">
        <v>1403</v>
      </c>
      <c r="W63" s="5" t="str">
        <f>IF($D63="","",VLOOKUP($B63,メインシート!$B$13:$D$18,2,0))</f>
        <v>岩手</v>
      </c>
      <c r="X63" s="5"/>
      <c r="Z63" s="1" t="s">
        <v>1322</v>
      </c>
      <c r="AA63" s="1" t="s">
        <v>1323</v>
      </c>
    </row>
    <row r="64" spans="1:27" hidden="1" outlineLevel="1" x14ac:dyDescent="0.15">
      <c r="A64" s="9">
        <v>61</v>
      </c>
      <c r="B64" s="5">
        <f t="shared" si="0"/>
        <v>2</v>
      </c>
      <c r="C64" s="71">
        <f t="shared" si="1"/>
        <v>20111</v>
      </c>
      <c r="D64" s="72">
        <v>111</v>
      </c>
      <c r="E64" s="4" t="s">
        <v>1377</v>
      </c>
      <c r="F64" s="4" t="s">
        <v>2570</v>
      </c>
      <c r="G64" s="4" t="s">
        <v>2595</v>
      </c>
      <c r="H64" s="4" t="s">
        <v>2620</v>
      </c>
      <c r="I64" s="4"/>
      <c r="J64" s="4"/>
      <c r="K64" s="4"/>
      <c r="L64" s="4"/>
      <c r="M64" s="4"/>
      <c r="N64" s="4"/>
      <c r="O64" s="4"/>
      <c r="P64" s="4"/>
      <c r="Q64" s="4"/>
      <c r="R64" s="3"/>
      <c r="S64" s="3" t="s">
        <v>1434</v>
      </c>
      <c r="T64" s="3" t="s">
        <v>1435</v>
      </c>
      <c r="U64" s="3" t="s">
        <v>1433</v>
      </c>
      <c r="V64" s="3" t="s">
        <v>1449</v>
      </c>
      <c r="W64" s="5" t="str">
        <f>IF($D64="","",VLOOKUP($B64,メインシート!$B$13:$D$18,2,0))</f>
        <v>岩手</v>
      </c>
      <c r="X64" s="5"/>
      <c r="Z64" s="1" t="s">
        <v>1339</v>
      </c>
      <c r="AA64" s="1" t="s">
        <v>1340</v>
      </c>
    </row>
    <row r="65" spans="1:27" hidden="1" outlineLevel="1" x14ac:dyDescent="0.15">
      <c r="A65" s="9">
        <v>62</v>
      </c>
      <c r="B65" s="5">
        <f t="shared" si="0"/>
        <v>2</v>
      </c>
      <c r="C65" s="71">
        <f t="shared" si="1"/>
        <v>20112</v>
      </c>
      <c r="D65" s="72">
        <v>112</v>
      </c>
      <c r="E65" s="4" t="s">
        <v>1387</v>
      </c>
      <c r="F65" s="4" t="s">
        <v>2571</v>
      </c>
      <c r="G65" s="4" t="s">
        <v>2596</v>
      </c>
      <c r="H65" s="4" t="s">
        <v>2621</v>
      </c>
      <c r="I65" s="4"/>
      <c r="J65" s="4"/>
      <c r="K65" s="4"/>
      <c r="L65" s="4"/>
      <c r="M65" s="4"/>
      <c r="N65" s="4"/>
      <c r="O65" s="4"/>
      <c r="P65" s="4"/>
      <c r="Q65" s="4"/>
      <c r="R65" s="3"/>
      <c r="S65" s="3" t="s">
        <v>1425</v>
      </c>
      <c r="T65" s="3" t="s">
        <v>1426</v>
      </c>
      <c r="U65" s="3" t="s">
        <v>1424</v>
      </c>
      <c r="V65" s="3" t="s">
        <v>1478</v>
      </c>
      <c r="W65" s="5" t="str">
        <f>IF($D65="","",VLOOKUP($B65,メインシート!$B$13:$D$18,2,0))</f>
        <v>岩手</v>
      </c>
      <c r="X65" s="5"/>
      <c r="Z65" s="1" t="s">
        <v>1333</v>
      </c>
      <c r="AA65" s="1" t="s">
        <v>1334</v>
      </c>
    </row>
    <row r="66" spans="1:27" hidden="1" outlineLevel="1" x14ac:dyDescent="0.15">
      <c r="A66" s="9">
        <v>63</v>
      </c>
      <c r="B66" s="5">
        <f t="shared" si="0"/>
        <v>2</v>
      </c>
      <c r="C66" s="71">
        <f t="shared" si="1"/>
        <v>20113</v>
      </c>
      <c r="D66" s="72">
        <v>113</v>
      </c>
      <c r="E66" s="4" t="s">
        <v>1389</v>
      </c>
      <c r="F66" s="4" t="s">
        <v>2572</v>
      </c>
      <c r="G66" s="4" t="s">
        <v>2597</v>
      </c>
      <c r="H66" s="4" t="s">
        <v>2622</v>
      </c>
      <c r="I66" s="4"/>
      <c r="J66" s="4"/>
      <c r="K66" s="4"/>
      <c r="L66" s="4"/>
      <c r="M66" s="4"/>
      <c r="N66" s="4"/>
      <c r="O66" s="4"/>
      <c r="P66" s="4"/>
      <c r="Q66" s="4"/>
      <c r="R66" s="3"/>
      <c r="S66" s="3" t="s">
        <v>1399</v>
      </c>
      <c r="T66" s="3" t="s">
        <v>1400</v>
      </c>
      <c r="U66" s="3" t="s">
        <v>1398</v>
      </c>
      <c r="V66" s="3" t="s">
        <v>1401</v>
      </c>
      <c r="W66" s="5" t="str">
        <f>IF($D66="","",VLOOKUP($B66,メインシート!$B$13:$D$18,2,0))</f>
        <v>岩手</v>
      </c>
      <c r="X66" s="5"/>
      <c r="Z66" s="1" t="s">
        <v>1320</v>
      </c>
      <c r="AA66" s="1" t="s">
        <v>1321</v>
      </c>
    </row>
    <row r="67" spans="1:27" hidden="1" outlineLevel="1" x14ac:dyDescent="0.15">
      <c r="A67" s="9">
        <v>64</v>
      </c>
      <c r="B67" s="5">
        <f t="shared" si="0"/>
        <v>2</v>
      </c>
      <c r="C67" s="71">
        <f t="shared" si="1"/>
        <v>20114</v>
      </c>
      <c r="D67" s="72">
        <v>114</v>
      </c>
      <c r="E67" s="4" t="s">
        <v>1391</v>
      </c>
      <c r="F67" s="4" t="s">
        <v>2573</v>
      </c>
      <c r="G67" s="4" t="s">
        <v>2598</v>
      </c>
      <c r="H67" s="4" t="s">
        <v>2623</v>
      </c>
      <c r="I67" s="4"/>
      <c r="J67" s="4"/>
      <c r="K67" s="4"/>
      <c r="L67" s="4"/>
      <c r="M67" s="4"/>
      <c r="N67" s="4"/>
      <c r="O67" s="4"/>
      <c r="P67" s="4"/>
      <c r="Q67" s="4"/>
      <c r="R67" s="3"/>
      <c r="S67" s="3" t="s">
        <v>1452</v>
      </c>
      <c r="T67" s="3" t="s">
        <v>1453</v>
      </c>
      <c r="U67" s="3" t="s">
        <v>1450</v>
      </c>
      <c r="V67" s="3" t="s">
        <v>1451</v>
      </c>
      <c r="W67" s="5" t="str">
        <f>IF($D67="","",VLOOKUP($B67,メインシート!$B$13:$D$18,2,0))</f>
        <v>岩手</v>
      </c>
      <c r="X67" s="5"/>
      <c r="Z67" s="1" t="s">
        <v>1347</v>
      </c>
      <c r="AA67" s="1" t="s">
        <v>1348</v>
      </c>
    </row>
    <row r="68" spans="1:27" hidden="1" outlineLevel="1" x14ac:dyDescent="0.15">
      <c r="A68" s="9">
        <v>65</v>
      </c>
      <c r="B68" s="5">
        <f t="shared" si="0"/>
        <v>2</v>
      </c>
      <c r="C68" s="71">
        <f t="shared" si="1"/>
        <v>20115</v>
      </c>
      <c r="D68" s="72">
        <v>115</v>
      </c>
      <c r="E68" s="4" t="s">
        <v>1390</v>
      </c>
      <c r="F68" s="4" t="s">
        <v>2574</v>
      </c>
      <c r="G68" s="4" t="s">
        <v>2599</v>
      </c>
      <c r="H68" s="4" t="s">
        <v>2624</v>
      </c>
      <c r="I68" s="4"/>
      <c r="J68" s="4"/>
      <c r="K68" s="4"/>
      <c r="L68" s="4"/>
      <c r="M68" s="4"/>
      <c r="N68" s="4"/>
      <c r="O68" s="4"/>
      <c r="P68" s="4"/>
      <c r="Q68" s="4"/>
      <c r="R68" s="3"/>
      <c r="S68" s="3" t="s">
        <v>1416</v>
      </c>
      <c r="T68" s="3" t="s">
        <v>1417</v>
      </c>
      <c r="U68" s="3" t="s">
        <v>1414</v>
      </c>
      <c r="V68" s="3" t="s">
        <v>1415</v>
      </c>
      <c r="W68" s="5" t="str">
        <f>IF($D68="","",VLOOKUP($B68,メインシート!$B$13:$D$18,2,0))</f>
        <v>岩手</v>
      </c>
      <c r="X68" s="5"/>
      <c r="Z68" s="1" t="s">
        <v>1327</v>
      </c>
      <c r="AA68" s="1" t="s">
        <v>1328</v>
      </c>
    </row>
    <row r="69" spans="1:27" hidden="1" outlineLevel="1" x14ac:dyDescent="0.15">
      <c r="A69" s="9">
        <v>66</v>
      </c>
      <c r="B69" s="5">
        <f t="shared" si="0"/>
        <v>2</v>
      </c>
      <c r="C69" s="71">
        <f t="shared" si="1"/>
        <v>20116</v>
      </c>
      <c r="D69" s="72">
        <v>116</v>
      </c>
      <c r="E69" s="4" t="s">
        <v>1381</v>
      </c>
      <c r="F69" s="4" t="s">
        <v>2575</v>
      </c>
      <c r="G69" s="4" t="s">
        <v>2600</v>
      </c>
      <c r="H69" s="4" t="s">
        <v>2625</v>
      </c>
      <c r="I69" s="4"/>
      <c r="J69" s="4"/>
      <c r="K69" s="4"/>
      <c r="L69" s="4"/>
      <c r="M69" s="4"/>
      <c r="N69" s="4"/>
      <c r="O69" s="4"/>
      <c r="P69" s="4"/>
      <c r="Q69" s="4"/>
      <c r="R69" s="3"/>
      <c r="S69" s="3" t="s">
        <v>1462</v>
      </c>
      <c r="T69" s="3" t="s">
        <v>1463</v>
      </c>
      <c r="U69" s="3" t="s">
        <v>1461</v>
      </c>
      <c r="V69" s="3" t="s">
        <v>1466</v>
      </c>
      <c r="W69" s="5" t="str">
        <f>IF($D69="","",VLOOKUP($B69,メインシート!$B$13:$D$18,2,0))</f>
        <v>岩手</v>
      </c>
      <c r="X69" s="5"/>
      <c r="Z69" s="1" t="s">
        <v>1353</v>
      </c>
      <c r="AA69" s="1" t="s">
        <v>1354</v>
      </c>
    </row>
    <row r="70" spans="1:27" hidden="1" outlineLevel="1" x14ac:dyDescent="0.15">
      <c r="A70" s="9">
        <v>67</v>
      </c>
      <c r="B70" s="5">
        <f t="shared" si="0"/>
        <v>2</v>
      </c>
      <c r="C70" s="71">
        <f t="shared" si="1"/>
        <v>20117</v>
      </c>
      <c r="D70" s="72">
        <v>117</v>
      </c>
      <c r="E70" s="4" t="s">
        <v>1380</v>
      </c>
      <c r="F70" s="4" t="s">
        <v>2576</v>
      </c>
      <c r="G70" s="4" t="s">
        <v>2601</v>
      </c>
      <c r="H70" s="4" t="s">
        <v>2626</v>
      </c>
      <c r="I70" s="4"/>
      <c r="J70" s="4"/>
      <c r="K70" s="4"/>
      <c r="L70" s="4"/>
      <c r="M70" s="4"/>
      <c r="N70" s="4"/>
      <c r="O70" s="4"/>
      <c r="P70" s="4"/>
      <c r="Q70" s="4"/>
      <c r="R70" s="3"/>
      <c r="S70" s="3" t="s">
        <v>1442</v>
      </c>
      <c r="T70" s="3" t="s">
        <v>1443</v>
      </c>
      <c r="U70" s="3" t="s">
        <v>1440</v>
      </c>
      <c r="V70" s="3" t="s">
        <v>1441</v>
      </c>
      <c r="W70" s="5" t="str">
        <f>IF($D70="","",VLOOKUP($B70,メインシート!$B$13:$D$18,2,0))</f>
        <v>岩手</v>
      </c>
      <c r="X70" s="5"/>
      <c r="Z70" s="1" t="s">
        <v>1343</v>
      </c>
      <c r="AA70" s="1" t="s">
        <v>1344</v>
      </c>
    </row>
    <row r="71" spans="1:27" hidden="1" outlineLevel="1" x14ac:dyDescent="0.15">
      <c r="A71" s="9">
        <v>68</v>
      </c>
      <c r="B71" s="5">
        <f t="shared" ref="B71:B134" si="2">B70</f>
        <v>2</v>
      </c>
      <c r="C71" s="71">
        <f t="shared" ref="C71:C134" si="3">IF(D71="","",VALUE(CONCATENATE(B71,IF(LEN(B71)=1,0,""),D71)))</f>
        <v>20118</v>
      </c>
      <c r="D71" s="72">
        <v>118</v>
      </c>
      <c r="E71" s="4" t="s">
        <v>1396</v>
      </c>
      <c r="F71" s="4" t="s">
        <v>2577</v>
      </c>
      <c r="G71" s="4" t="s">
        <v>2602</v>
      </c>
      <c r="H71" s="4" t="s">
        <v>2627</v>
      </c>
      <c r="I71" s="4"/>
      <c r="J71" s="4"/>
      <c r="K71" s="4"/>
      <c r="L71" s="4"/>
      <c r="M71" s="4"/>
      <c r="N71" s="4"/>
      <c r="O71" s="4"/>
      <c r="P71" s="4"/>
      <c r="Q71" s="4"/>
      <c r="R71" s="3"/>
      <c r="S71" s="3" t="s">
        <v>1459</v>
      </c>
      <c r="T71" s="3" t="s">
        <v>1460</v>
      </c>
      <c r="U71" s="3" t="s">
        <v>1458</v>
      </c>
      <c r="V71" s="3" t="s">
        <v>1467</v>
      </c>
      <c r="W71" s="5" t="str">
        <f>IF($D71="","",VLOOKUP($B71,メインシート!$B$13:$D$18,2,0))</f>
        <v>岩手</v>
      </c>
      <c r="X71" s="5"/>
      <c r="Z71" s="1" t="s">
        <v>1351</v>
      </c>
      <c r="AA71" s="1" t="s">
        <v>1352</v>
      </c>
    </row>
    <row r="72" spans="1:27" hidden="1" outlineLevel="1" x14ac:dyDescent="0.15">
      <c r="A72" s="9">
        <v>69</v>
      </c>
      <c r="B72" s="5">
        <f t="shared" si="2"/>
        <v>2</v>
      </c>
      <c r="C72" s="71">
        <f t="shared" si="3"/>
        <v>20119</v>
      </c>
      <c r="D72" s="72">
        <v>119</v>
      </c>
      <c r="E72" s="4" t="s">
        <v>1385</v>
      </c>
      <c r="F72" s="4" t="s">
        <v>2578</v>
      </c>
      <c r="G72" s="4" t="s">
        <v>2603</v>
      </c>
      <c r="H72" s="4" t="s">
        <v>2628</v>
      </c>
      <c r="I72" s="4"/>
      <c r="J72" s="4"/>
      <c r="K72" s="4"/>
      <c r="L72" s="4"/>
      <c r="M72" s="4"/>
      <c r="N72" s="4"/>
      <c r="O72" s="4"/>
      <c r="P72" s="4"/>
      <c r="Q72" s="4"/>
      <c r="R72" s="3"/>
      <c r="S72" s="3" t="s">
        <v>1412</v>
      </c>
      <c r="T72" s="3" t="s">
        <v>1413</v>
      </c>
      <c r="U72" s="3" t="s">
        <v>1410</v>
      </c>
      <c r="V72" s="3" t="s">
        <v>1411</v>
      </c>
      <c r="W72" s="5" t="str">
        <f>IF($D72="","",VLOOKUP($B72,メインシート!$B$13:$D$18,2,0))</f>
        <v>岩手</v>
      </c>
      <c r="X72" s="5"/>
      <c r="Z72" s="1" t="s">
        <v>1326</v>
      </c>
      <c r="AA72" s="1" t="s">
        <v>1371</v>
      </c>
    </row>
    <row r="73" spans="1:27" hidden="1" outlineLevel="1" x14ac:dyDescent="0.15">
      <c r="A73" s="9">
        <v>70</v>
      </c>
      <c r="B73" s="5">
        <f t="shared" si="2"/>
        <v>2</v>
      </c>
      <c r="C73" s="71">
        <f t="shared" si="3"/>
        <v>20120</v>
      </c>
      <c r="D73" s="72">
        <v>120</v>
      </c>
      <c r="E73" s="4" t="s">
        <v>1386</v>
      </c>
      <c r="F73" s="4" t="s">
        <v>2579</v>
      </c>
      <c r="G73" s="4" t="s">
        <v>2604</v>
      </c>
      <c r="H73" s="4" t="s">
        <v>2629</v>
      </c>
      <c r="I73" s="4"/>
      <c r="J73" s="4"/>
      <c r="K73" s="4"/>
      <c r="L73" s="4"/>
      <c r="M73" s="4"/>
      <c r="N73" s="4"/>
      <c r="O73" s="4"/>
      <c r="P73" s="4"/>
      <c r="Q73" s="4"/>
      <c r="R73" s="3"/>
      <c r="S73" s="3" t="s">
        <v>1422</v>
      </c>
      <c r="T73" s="3" t="s">
        <v>1423</v>
      </c>
      <c r="U73" s="3" t="s">
        <v>1420</v>
      </c>
      <c r="V73" s="3" t="s">
        <v>1421</v>
      </c>
      <c r="W73" s="5" t="str">
        <f>IF($D73="","",VLOOKUP($B73,メインシート!$B$13:$D$18,2,0))</f>
        <v>岩手</v>
      </c>
      <c r="X73" s="5"/>
      <c r="Z73" s="1" t="s">
        <v>1331</v>
      </c>
      <c r="AA73" s="1" t="s">
        <v>1332</v>
      </c>
    </row>
    <row r="74" spans="1:27" hidden="1" outlineLevel="1" x14ac:dyDescent="0.15">
      <c r="A74" s="9">
        <v>71</v>
      </c>
      <c r="B74" s="5">
        <f t="shared" si="2"/>
        <v>2</v>
      </c>
      <c r="C74" s="71">
        <f t="shared" si="3"/>
        <v>20121</v>
      </c>
      <c r="D74" s="72">
        <v>121</v>
      </c>
      <c r="E74" s="4" t="s">
        <v>1372</v>
      </c>
      <c r="F74" s="4" t="s">
        <v>2580</v>
      </c>
      <c r="G74" s="4" t="s">
        <v>2605</v>
      </c>
      <c r="H74" s="4" t="s">
        <v>2630</v>
      </c>
      <c r="I74" s="4"/>
      <c r="J74" s="4"/>
      <c r="K74" s="4"/>
      <c r="L74" s="4"/>
      <c r="M74" s="4"/>
      <c r="N74" s="4"/>
      <c r="O74" s="4"/>
      <c r="P74" s="4"/>
      <c r="Q74" s="4"/>
      <c r="R74" s="3"/>
      <c r="S74" s="3" t="s">
        <v>1438</v>
      </c>
      <c r="T74" s="3" t="s">
        <v>1439</v>
      </c>
      <c r="U74" s="3" t="s">
        <v>1436</v>
      </c>
      <c r="V74" s="3" t="s">
        <v>1437</v>
      </c>
      <c r="W74" s="5" t="str">
        <f>IF($D74="","",VLOOKUP($B74,メインシート!$B$13:$D$18,2,0))</f>
        <v>岩手</v>
      </c>
      <c r="X74" s="5"/>
      <c r="Z74" s="1" t="s">
        <v>1341</v>
      </c>
      <c r="AA74" s="1" t="s">
        <v>1342</v>
      </c>
    </row>
    <row r="75" spans="1:27" hidden="1" outlineLevel="1" x14ac:dyDescent="0.15">
      <c r="A75" s="9">
        <v>72</v>
      </c>
      <c r="B75" s="5">
        <f t="shared" si="2"/>
        <v>2</v>
      </c>
      <c r="C75" s="71">
        <f t="shared" si="3"/>
        <v>20122</v>
      </c>
      <c r="D75" s="72">
        <v>122</v>
      </c>
      <c r="E75" s="4" t="s">
        <v>1384</v>
      </c>
      <c r="F75" s="4" t="s">
        <v>2581</v>
      </c>
      <c r="G75" s="4" t="s">
        <v>2606</v>
      </c>
      <c r="H75" s="4" t="s">
        <v>2631</v>
      </c>
      <c r="I75" s="4"/>
      <c r="J75" s="4"/>
      <c r="K75" s="4"/>
      <c r="L75" s="4"/>
      <c r="M75" s="4"/>
      <c r="N75" s="4"/>
      <c r="O75" s="4"/>
      <c r="P75" s="4"/>
      <c r="Q75" s="4"/>
      <c r="R75" s="3"/>
      <c r="S75" s="3" t="s">
        <v>1493</v>
      </c>
      <c r="T75" s="3" t="s">
        <v>1494</v>
      </c>
      <c r="U75" s="3" t="s">
        <v>1464</v>
      </c>
      <c r="V75" s="3" t="s">
        <v>1465</v>
      </c>
      <c r="W75" s="5" t="str">
        <f>IF($D75="","",VLOOKUP($B75,メインシート!$B$13:$D$18,2,0))</f>
        <v>岩手</v>
      </c>
      <c r="X75" s="5"/>
      <c r="Z75" s="1" t="s">
        <v>1355</v>
      </c>
      <c r="AA75" s="1" t="s">
        <v>1356</v>
      </c>
    </row>
    <row r="76" spans="1:27" hidden="1" outlineLevel="1" x14ac:dyDescent="0.15">
      <c r="A76" s="9">
        <v>73</v>
      </c>
      <c r="B76" s="5">
        <f t="shared" si="2"/>
        <v>2</v>
      </c>
      <c r="C76" s="71">
        <f t="shared" si="3"/>
        <v>20123</v>
      </c>
      <c r="D76" s="72">
        <v>123</v>
      </c>
      <c r="E76" s="4" t="s">
        <v>1388</v>
      </c>
      <c r="F76" s="4" t="s">
        <v>2582</v>
      </c>
      <c r="G76" s="4" t="s">
        <v>2607</v>
      </c>
      <c r="H76" s="4" t="s">
        <v>2632</v>
      </c>
      <c r="I76" s="4"/>
      <c r="J76" s="4"/>
      <c r="K76" s="4"/>
      <c r="L76" s="4"/>
      <c r="M76" s="4"/>
      <c r="N76" s="4"/>
      <c r="O76" s="4"/>
      <c r="P76" s="4"/>
      <c r="Q76" s="4"/>
      <c r="R76" s="3"/>
      <c r="S76" s="3" t="s">
        <v>1480</v>
      </c>
      <c r="T76" s="3" t="s">
        <v>1481</v>
      </c>
      <c r="U76" s="3" t="s">
        <v>1477</v>
      </c>
      <c r="V76" s="3" t="s">
        <v>1479</v>
      </c>
      <c r="W76" s="5" t="str">
        <f>IF($D76="","",VLOOKUP($B76,メインシート!$B$13:$D$18,2,0))</f>
        <v>岩手</v>
      </c>
      <c r="X76" s="5"/>
      <c r="Z76" s="1" t="s">
        <v>1369</v>
      </c>
      <c r="AA76" s="1" t="s">
        <v>1370</v>
      </c>
    </row>
    <row r="77" spans="1:27" hidden="1" outlineLevel="1" x14ac:dyDescent="0.15">
      <c r="A77" s="9">
        <v>74</v>
      </c>
      <c r="B77" s="5">
        <f t="shared" si="2"/>
        <v>2</v>
      </c>
      <c r="C77" s="71">
        <f t="shared" si="3"/>
        <v>20124</v>
      </c>
      <c r="D77" s="72">
        <v>124</v>
      </c>
      <c r="E77" s="4" t="s">
        <v>1397</v>
      </c>
      <c r="F77" s="4" t="s">
        <v>2583</v>
      </c>
      <c r="G77" s="4" t="s">
        <v>2608</v>
      </c>
      <c r="H77" s="4" t="s">
        <v>2633</v>
      </c>
      <c r="I77" s="4"/>
      <c r="J77" s="4"/>
      <c r="K77" s="4"/>
      <c r="L77" s="4"/>
      <c r="M77" s="4"/>
      <c r="N77" s="4"/>
      <c r="O77" s="4"/>
      <c r="P77" s="4"/>
      <c r="Q77" s="4"/>
      <c r="R77" s="3"/>
      <c r="S77" s="3" t="s">
        <v>1491</v>
      </c>
      <c r="T77" s="3" t="s">
        <v>1492</v>
      </c>
      <c r="U77" s="3" t="s">
        <v>1489</v>
      </c>
      <c r="V77" s="3" t="s">
        <v>1490</v>
      </c>
      <c r="W77" s="5" t="str">
        <f>IF($D77="","",VLOOKUP($B77,メインシート!$B$13:$D$18,2,0))</f>
        <v>岩手</v>
      </c>
      <c r="X77" s="5"/>
      <c r="Z77" s="1" t="s">
        <v>1365</v>
      </c>
      <c r="AA77" s="1" t="s">
        <v>1366</v>
      </c>
    </row>
    <row r="78" spans="1:27" hidden="1" outlineLevel="1" x14ac:dyDescent="0.15">
      <c r="A78" s="9">
        <v>75</v>
      </c>
      <c r="B78" s="5">
        <f t="shared" si="2"/>
        <v>2</v>
      </c>
      <c r="C78" s="71">
        <f t="shared" si="3"/>
        <v>20125</v>
      </c>
      <c r="D78" s="72">
        <v>125</v>
      </c>
      <c r="E78" s="4" t="s">
        <v>1374</v>
      </c>
      <c r="F78" s="4" t="s">
        <v>2584</v>
      </c>
      <c r="G78" s="4" t="s">
        <v>2609</v>
      </c>
      <c r="H78" s="4" t="s">
        <v>2634</v>
      </c>
      <c r="I78" s="4"/>
      <c r="J78" s="4"/>
      <c r="K78" s="4"/>
      <c r="L78" s="4"/>
      <c r="M78" s="4"/>
      <c r="N78" s="4"/>
      <c r="O78" s="4"/>
      <c r="P78" s="4"/>
      <c r="Q78" s="4"/>
      <c r="R78" s="3"/>
      <c r="S78" s="3" t="s">
        <v>1456</v>
      </c>
      <c r="T78" s="3" t="s">
        <v>1457</v>
      </c>
      <c r="U78" s="3" t="s">
        <v>1454</v>
      </c>
      <c r="V78" s="3" t="s">
        <v>1455</v>
      </c>
      <c r="W78" s="5" t="str">
        <f>IF($D78="","",VLOOKUP($B78,メインシート!$B$13:$D$18,2,0))</f>
        <v>岩手</v>
      </c>
      <c r="X78" s="5"/>
      <c r="Z78" s="1" t="s">
        <v>1349</v>
      </c>
      <c r="AA78" s="1" t="s">
        <v>1350</v>
      </c>
    </row>
    <row r="79" spans="1:27" hidden="1" outlineLevel="1" x14ac:dyDescent="0.15">
      <c r="A79" s="9">
        <v>76</v>
      </c>
      <c r="B79" s="5">
        <f t="shared" si="2"/>
        <v>2</v>
      </c>
      <c r="C79" s="71">
        <f t="shared" si="3"/>
        <v>20126</v>
      </c>
      <c r="D79" s="72">
        <v>126</v>
      </c>
      <c r="E79" s="4" t="s">
        <v>1379</v>
      </c>
      <c r="F79" s="4" t="s">
        <v>2585</v>
      </c>
      <c r="G79" s="4" t="s">
        <v>2610</v>
      </c>
      <c r="H79" s="4" t="s">
        <v>2635</v>
      </c>
      <c r="I79" s="4"/>
      <c r="J79" s="4"/>
      <c r="K79" s="4"/>
      <c r="L79" s="4"/>
      <c r="M79" s="4"/>
      <c r="N79" s="4"/>
      <c r="O79" s="4"/>
      <c r="P79" s="4"/>
      <c r="Q79" s="4"/>
      <c r="R79" s="3"/>
      <c r="S79" s="3" t="s">
        <v>1496</v>
      </c>
      <c r="T79" s="3" t="s">
        <v>1497</v>
      </c>
      <c r="U79" s="3"/>
      <c r="V79" s="3" t="s">
        <v>1495</v>
      </c>
      <c r="W79" s="5" t="str">
        <f>IF($D79="","",VLOOKUP($B79,メインシート!$B$13:$D$18,2,0))</f>
        <v>岩手</v>
      </c>
      <c r="X79" s="5"/>
      <c r="Z79" s="1" t="s">
        <v>1363</v>
      </c>
      <c r="AA79" s="1" t="s">
        <v>1364</v>
      </c>
    </row>
    <row r="80" spans="1:27" hidden="1" outlineLevel="1" x14ac:dyDescent="0.15">
      <c r="A80" s="9">
        <v>77</v>
      </c>
      <c r="B80" s="5">
        <f t="shared" si="2"/>
        <v>2</v>
      </c>
      <c r="C80" s="71">
        <f t="shared" si="3"/>
        <v>20127</v>
      </c>
      <c r="D80" s="72">
        <v>127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3"/>
      <c r="S80" s="3"/>
      <c r="T80" s="3"/>
      <c r="U80" s="3"/>
      <c r="V80" s="3"/>
      <c r="W80" s="5" t="str">
        <f>IF($D80="","",VLOOKUP($B80,メインシート!$B$13:$D$18,2,0))</f>
        <v>岩手</v>
      </c>
      <c r="X80" s="5"/>
    </row>
    <row r="81" spans="1:24" hidden="1" outlineLevel="1" x14ac:dyDescent="0.15">
      <c r="A81" s="9">
        <v>78</v>
      </c>
      <c r="B81" s="5">
        <f t="shared" si="2"/>
        <v>2</v>
      </c>
      <c r="C81" s="71">
        <f t="shared" si="3"/>
        <v>20128</v>
      </c>
      <c r="D81" s="72">
        <v>128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3"/>
      <c r="S81" s="3"/>
      <c r="T81" s="3"/>
      <c r="U81" s="3"/>
      <c r="V81" s="3"/>
      <c r="W81" s="5" t="str">
        <f>IF($D81="","",VLOOKUP($B81,メインシート!$B$13:$D$18,2,0))</f>
        <v>岩手</v>
      </c>
      <c r="X81" s="5"/>
    </row>
    <row r="82" spans="1:24" hidden="1" outlineLevel="1" x14ac:dyDescent="0.15">
      <c r="A82" s="9">
        <v>79</v>
      </c>
      <c r="B82" s="5">
        <f t="shared" si="2"/>
        <v>2</v>
      </c>
      <c r="C82" s="71">
        <f t="shared" si="3"/>
        <v>20129</v>
      </c>
      <c r="D82" s="72">
        <v>129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3"/>
      <c r="S82" s="3"/>
      <c r="T82" s="3"/>
      <c r="U82" s="3"/>
      <c r="V82" s="3"/>
      <c r="W82" s="5" t="str">
        <f>IF($D82="","",VLOOKUP($B82,メインシート!$B$13:$D$18,2,0))</f>
        <v>岩手</v>
      </c>
      <c r="X82" s="5"/>
    </row>
    <row r="83" spans="1:24" hidden="1" outlineLevel="1" x14ac:dyDescent="0.15">
      <c r="A83" s="9">
        <v>80</v>
      </c>
      <c r="B83" s="5">
        <f t="shared" si="2"/>
        <v>2</v>
      </c>
      <c r="C83" s="71">
        <f t="shared" si="3"/>
        <v>20130</v>
      </c>
      <c r="D83" s="72">
        <v>130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3"/>
      <c r="S83" s="3"/>
      <c r="T83" s="3"/>
      <c r="U83" s="3"/>
      <c r="V83" s="3"/>
      <c r="W83" s="5" t="str">
        <f>IF($D83="","",VLOOKUP($B83,メインシート!$B$13:$D$18,2,0))</f>
        <v>岩手</v>
      </c>
      <c r="X83" s="5"/>
    </row>
    <row r="84" spans="1:24" hidden="1" outlineLevel="1" x14ac:dyDescent="0.15">
      <c r="A84" s="9">
        <v>81</v>
      </c>
      <c r="B84" s="5">
        <f t="shared" si="2"/>
        <v>2</v>
      </c>
      <c r="C84" s="71">
        <f t="shared" si="3"/>
        <v>20131</v>
      </c>
      <c r="D84" s="72">
        <v>131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3"/>
      <c r="S84" s="3"/>
      <c r="T84" s="3"/>
      <c r="U84" s="3"/>
      <c r="V84" s="3"/>
      <c r="W84" s="5" t="str">
        <f>IF($D84="","",VLOOKUP($B84,メインシート!$B$13:$D$18,2,0))</f>
        <v>岩手</v>
      </c>
      <c r="X84" s="5"/>
    </row>
    <row r="85" spans="1:24" hidden="1" outlineLevel="1" x14ac:dyDescent="0.15">
      <c r="A85" s="9">
        <v>82</v>
      </c>
      <c r="B85" s="5">
        <f t="shared" si="2"/>
        <v>2</v>
      </c>
      <c r="C85" s="71">
        <f t="shared" si="3"/>
        <v>20132</v>
      </c>
      <c r="D85" s="72">
        <v>132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3"/>
      <c r="S85" s="3"/>
      <c r="T85" s="3"/>
      <c r="U85" s="3"/>
      <c r="V85" s="3"/>
      <c r="W85" s="5" t="str">
        <f>IF($D85="","",VLOOKUP($B85,メインシート!$B$13:$D$18,2,0))</f>
        <v>岩手</v>
      </c>
      <c r="X85" s="5"/>
    </row>
    <row r="86" spans="1:24" hidden="1" outlineLevel="1" x14ac:dyDescent="0.15">
      <c r="A86" s="9">
        <v>83</v>
      </c>
      <c r="B86" s="5">
        <f t="shared" si="2"/>
        <v>2</v>
      </c>
      <c r="C86" s="71">
        <f t="shared" si="3"/>
        <v>20133</v>
      </c>
      <c r="D86" s="72">
        <v>133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3"/>
      <c r="S86" s="3"/>
      <c r="T86" s="3"/>
      <c r="U86" s="3"/>
      <c r="V86" s="3"/>
      <c r="W86" s="5" t="str">
        <f>IF($D86="","",VLOOKUP($B86,メインシート!$B$13:$D$18,2,0))</f>
        <v>岩手</v>
      </c>
      <c r="X86" s="5"/>
    </row>
    <row r="87" spans="1:24" hidden="1" outlineLevel="1" x14ac:dyDescent="0.15">
      <c r="A87" s="9">
        <v>84</v>
      </c>
      <c r="B87" s="5">
        <f t="shared" si="2"/>
        <v>2</v>
      </c>
      <c r="C87" s="71">
        <f t="shared" si="3"/>
        <v>20134</v>
      </c>
      <c r="D87" s="72">
        <v>134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3"/>
      <c r="S87" s="3"/>
      <c r="T87" s="3"/>
      <c r="U87" s="3"/>
      <c r="V87" s="3"/>
      <c r="W87" s="5" t="str">
        <f>IF($D87="","",VLOOKUP($B87,メインシート!$B$13:$D$18,2,0))</f>
        <v>岩手</v>
      </c>
      <c r="X87" s="5"/>
    </row>
    <row r="88" spans="1:24" hidden="1" outlineLevel="1" x14ac:dyDescent="0.15">
      <c r="A88" s="9">
        <v>85</v>
      </c>
      <c r="B88" s="5">
        <f t="shared" si="2"/>
        <v>2</v>
      </c>
      <c r="C88" s="71">
        <f t="shared" si="3"/>
        <v>20135</v>
      </c>
      <c r="D88" s="72">
        <v>135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3"/>
      <c r="S88" s="3"/>
      <c r="T88" s="3"/>
      <c r="U88" s="3"/>
      <c r="V88" s="3"/>
      <c r="W88" s="5" t="str">
        <f>IF($D88="","",VLOOKUP($B88,メインシート!$B$13:$D$18,2,0))</f>
        <v>岩手</v>
      </c>
      <c r="X88" s="5"/>
    </row>
    <row r="89" spans="1:24" hidden="1" outlineLevel="1" x14ac:dyDescent="0.15">
      <c r="A89" s="9">
        <v>86</v>
      </c>
      <c r="B89" s="5">
        <f t="shared" si="2"/>
        <v>2</v>
      </c>
      <c r="C89" s="71">
        <f t="shared" si="3"/>
        <v>20136</v>
      </c>
      <c r="D89" s="72">
        <v>136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3"/>
      <c r="S89" s="3"/>
      <c r="T89" s="3"/>
      <c r="U89" s="3"/>
      <c r="V89" s="3"/>
      <c r="W89" s="5" t="str">
        <f>IF($D89="","",VLOOKUP($B89,メインシート!$B$13:$D$18,2,0))</f>
        <v>岩手</v>
      </c>
      <c r="X89" s="5"/>
    </row>
    <row r="90" spans="1:24" hidden="1" outlineLevel="1" x14ac:dyDescent="0.15">
      <c r="A90" s="9">
        <v>87</v>
      </c>
      <c r="B90" s="5">
        <f t="shared" si="2"/>
        <v>2</v>
      </c>
      <c r="C90" s="71">
        <f t="shared" si="3"/>
        <v>20137</v>
      </c>
      <c r="D90" s="72">
        <v>137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3"/>
      <c r="S90" s="3"/>
      <c r="T90" s="3"/>
      <c r="U90" s="3"/>
      <c r="V90" s="3"/>
      <c r="W90" s="5" t="str">
        <f>IF($D90="","",VLOOKUP($B90,メインシート!$B$13:$D$18,2,0))</f>
        <v>岩手</v>
      </c>
      <c r="X90" s="5"/>
    </row>
    <row r="91" spans="1:24" hidden="1" outlineLevel="1" x14ac:dyDescent="0.15">
      <c r="A91" s="9">
        <v>88</v>
      </c>
      <c r="B91" s="5">
        <f t="shared" si="2"/>
        <v>2</v>
      </c>
      <c r="C91" s="71">
        <f t="shared" si="3"/>
        <v>20138</v>
      </c>
      <c r="D91" s="72">
        <v>138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3"/>
      <c r="S91" s="3"/>
      <c r="T91" s="3"/>
      <c r="U91" s="3"/>
      <c r="V91" s="3"/>
      <c r="W91" s="5" t="str">
        <f>IF($D91="","",VLOOKUP($B91,メインシート!$B$13:$D$18,2,0))</f>
        <v>岩手</v>
      </c>
      <c r="X91" s="5"/>
    </row>
    <row r="92" spans="1:24" hidden="1" outlineLevel="1" x14ac:dyDescent="0.15">
      <c r="A92" s="9">
        <v>89</v>
      </c>
      <c r="B92" s="5">
        <f t="shared" si="2"/>
        <v>2</v>
      </c>
      <c r="C92" s="71">
        <f t="shared" si="3"/>
        <v>20139</v>
      </c>
      <c r="D92" s="72">
        <v>139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3"/>
      <c r="S92" s="3"/>
      <c r="T92" s="3"/>
      <c r="U92" s="3"/>
      <c r="V92" s="3"/>
      <c r="W92" s="5" t="str">
        <f>IF($D92="","",VLOOKUP($B92,メインシート!$B$13:$D$18,2,0))</f>
        <v>岩手</v>
      </c>
      <c r="X92" s="5"/>
    </row>
    <row r="93" spans="1:24" hidden="1" outlineLevel="1" x14ac:dyDescent="0.15">
      <c r="A93" s="9">
        <v>90</v>
      </c>
      <c r="B93" s="5">
        <f t="shared" si="2"/>
        <v>2</v>
      </c>
      <c r="C93" s="71">
        <f t="shared" si="3"/>
        <v>20140</v>
      </c>
      <c r="D93" s="72">
        <v>140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3"/>
      <c r="S93" s="3"/>
      <c r="T93" s="3"/>
      <c r="U93" s="3"/>
      <c r="V93" s="3"/>
      <c r="W93" s="5" t="str">
        <f>IF($D93="","",VLOOKUP($B93,メインシート!$B$13:$D$18,2,0))</f>
        <v>岩手</v>
      </c>
      <c r="X93" s="5"/>
    </row>
    <row r="94" spans="1:24" hidden="1" outlineLevel="1" x14ac:dyDescent="0.15">
      <c r="A94" s="9">
        <v>91</v>
      </c>
      <c r="B94" s="5">
        <f t="shared" si="2"/>
        <v>2</v>
      </c>
      <c r="C94" s="71">
        <f t="shared" si="3"/>
        <v>20141</v>
      </c>
      <c r="D94" s="72">
        <v>141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3"/>
      <c r="S94" s="3"/>
      <c r="T94" s="3"/>
      <c r="U94" s="3"/>
      <c r="V94" s="3"/>
      <c r="W94" s="5" t="str">
        <f>IF($D94="","",VLOOKUP($B94,メインシート!$B$13:$D$18,2,0))</f>
        <v>岩手</v>
      </c>
      <c r="X94" s="5"/>
    </row>
    <row r="95" spans="1:24" hidden="1" outlineLevel="1" x14ac:dyDescent="0.15">
      <c r="A95" s="9">
        <v>92</v>
      </c>
      <c r="B95" s="5">
        <f t="shared" si="2"/>
        <v>2</v>
      </c>
      <c r="C95" s="71">
        <f t="shared" si="3"/>
        <v>20142</v>
      </c>
      <c r="D95" s="72">
        <v>142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3"/>
      <c r="S95" s="3"/>
      <c r="T95" s="3"/>
      <c r="U95" s="3"/>
      <c r="V95" s="3"/>
      <c r="W95" s="5" t="str">
        <f>IF($D95="","",VLOOKUP($B95,メインシート!$B$13:$D$18,2,0))</f>
        <v>岩手</v>
      </c>
      <c r="X95" s="5"/>
    </row>
    <row r="96" spans="1:24" hidden="1" outlineLevel="1" x14ac:dyDescent="0.15">
      <c r="A96" s="9">
        <v>93</v>
      </c>
      <c r="B96" s="5">
        <f t="shared" si="2"/>
        <v>2</v>
      </c>
      <c r="C96" s="71">
        <f t="shared" si="3"/>
        <v>20143</v>
      </c>
      <c r="D96" s="72">
        <v>143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3"/>
      <c r="S96" s="3"/>
      <c r="T96" s="3"/>
      <c r="U96" s="3"/>
      <c r="V96" s="3"/>
      <c r="W96" s="5" t="str">
        <f>IF($D96="","",VLOOKUP($B96,メインシート!$B$13:$D$18,2,0))</f>
        <v>岩手</v>
      </c>
      <c r="X96" s="5"/>
    </row>
    <row r="97" spans="1:27" hidden="1" outlineLevel="1" x14ac:dyDescent="0.15">
      <c r="A97" s="9">
        <v>94</v>
      </c>
      <c r="B97" s="5">
        <f t="shared" si="2"/>
        <v>2</v>
      </c>
      <c r="C97" s="71">
        <f t="shared" si="3"/>
        <v>20144</v>
      </c>
      <c r="D97" s="72">
        <v>144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3"/>
      <c r="S97" s="3"/>
      <c r="T97" s="3"/>
      <c r="U97" s="3"/>
      <c r="V97" s="3"/>
      <c r="W97" s="5" t="str">
        <f>IF($D97="","",VLOOKUP($B97,メインシート!$B$13:$D$18,2,0))</f>
        <v>岩手</v>
      </c>
      <c r="X97" s="5"/>
    </row>
    <row r="98" spans="1:27" hidden="1" outlineLevel="1" x14ac:dyDescent="0.15">
      <c r="A98" s="9">
        <v>95</v>
      </c>
      <c r="B98" s="5">
        <f t="shared" si="2"/>
        <v>2</v>
      </c>
      <c r="C98" s="71">
        <f t="shared" si="3"/>
        <v>20145</v>
      </c>
      <c r="D98" s="72">
        <v>145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3"/>
      <c r="S98" s="3"/>
      <c r="T98" s="3"/>
      <c r="U98" s="3"/>
      <c r="V98" s="3"/>
      <c r="W98" s="5" t="str">
        <f>IF($D98="","",VLOOKUP($B98,メインシート!$B$13:$D$18,2,0))</f>
        <v>岩手</v>
      </c>
      <c r="X98" s="5"/>
    </row>
    <row r="99" spans="1:27" hidden="1" outlineLevel="1" x14ac:dyDescent="0.15">
      <c r="A99" s="9">
        <v>96</v>
      </c>
      <c r="B99" s="5">
        <f t="shared" si="2"/>
        <v>2</v>
      </c>
      <c r="C99" s="71">
        <f t="shared" si="3"/>
        <v>20146</v>
      </c>
      <c r="D99" s="72">
        <v>146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3"/>
      <c r="S99" s="3"/>
      <c r="T99" s="3"/>
      <c r="U99" s="3"/>
      <c r="V99" s="3"/>
      <c r="W99" s="5" t="str">
        <f>IF($D99="","",VLOOKUP($B99,メインシート!$B$13:$D$18,2,0))</f>
        <v>岩手</v>
      </c>
      <c r="X99" s="5"/>
    </row>
    <row r="100" spans="1:27" hidden="1" outlineLevel="1" x14ac:dyDescent="0.15">
      <c r="A100" s="9">
        <v>97</v>
      </c>
      <c r="B100" s="5">
        <f t="shared" si="2"/>
        <v>2</v>
      </c>
      <c r="C100" s="71">
        <f t="shared" si="3"/>
        <v>20147</v>
      </c>
      <c r="D100" s="72">
        <v>147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3"/>
      <c r="S100" s="3"/>
      <c r="T100" s="3"/>
      <c r="U100" s="3"/>
      <c r="V100" s="3"/>
      <c r="W100" s="5" t="str">
        <f>IF($D100="","",VLOOKUP($B100,メインシート!$B$13:$D$18,2,0))</f>
        <v>岩手</v>
      </c>
      <c r="X100" s="5"/>
    </row>
    <row r="101" spans="1:27" hidden="1" outlineLevel="1" x14ac:dyDescent="0.15">
      <c r="A101" s="9">
        <v>98</v>
      </c>
      <c r="B101" s="5">
        <f t="shared" si="2"/>
        <v>2</v>
      </c>
      <c r="C101" s="71">
        <f t="shared" si="3"/>
        <v>20148</v>
      </c>
      <c r="D101" s="72">
        <v>148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3"/>
      <c r="S101" s="3"/>
      <c r="T101" s="3"/>
      <c r="U101" s="3"/>
      <c r="V101" s="3"/>
      <c r="W101" s="5" t="str">
        <f>IF($D101="","",VLOOKUP($B101,メインシート!$B$13:$D$18,2,0))</f>
        <v>岩手</v>
      </c>
      <c r="X101" s="5"/>
    </row>
    <row r="102" spans="1:27" hidden="1" outlineLevel="1" x14ac:dyDescent="0.15">
      <c r="A102" s="9">
        <v>99</v>
      </c>
      <c r="B102" s="5">
        <f t="shared" si="2"/>
        <v>2</v>
      </c>
      <c r="C102" s="71">
        <f t="shared" si="3"/>
        <v>20149</v>
      </c>
      <c r="D102" s="72">
        <v>149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3"/>
      <c r="S102" s="3"/>
      <c r="T102" s="3"/>
      <c r="U102" s="3"/>
      <c r="V102" s="3"/>
      <c r="W102" s="5" t="str">
        <f>IF($D102="","",VLOOKUP($B102,メインシート!$B$13:$D$18,2,0))</f>
        <v>岩手</v>
      </c>
      <c r="X102" s="5"/>
    </row>
    <row r="103" spans="1:27" hidden="1" outlineLevel="1" x14ac:dyDescent="0.15">
      <c r="A103" s="9">
        <v>100</v>
      </c>
      <c r="B103" s="5">
        <f t="shared" si="2"/>
        <v>2</v>
      </c>
      <c r="C103" s="71">
        <f t="shared" si="3"/>
        <v>20150</v>
      </c>
      <c r="D103" s="72">
        <v>150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3"/>
      <c r="S103" s="3"/>
      <c r="T103" s="3"/>
      <c r="U103" s="3"/>
      <c r="V103" s="3"/>
      <c r="W103" s="5" t="str">
        <f>IF($D103="","",VLOOKUP($B103,メインシート!$B$13:$D$18,2,0))</f>
        <v>岩手</v>
      </c>
      <c r="X103" s="5"/>
    </row>
    <row r="104" spans="1:27" hidden="1" outlineLevel="1" x14ac:dyDescent="0.15">
      <c r="A104" s="9">
        <v>101</v>
      </c>
      <c r="B104" s="71">
        <v>3</v>
      </c>
      <c r="C104" s="71">
        <f t="shared" si="3"/>
        <v>30101</v>
      </c>
      <c r="D104" s="72">
        <v>101</v>
      </c>
      <c r="E104" s="4" t="s">
        <v>1610</v>
      </c>
      <c r="F104" s="4" t="s">
        <v>1631</v>
      </c>
      <c r="G104" s="4" t="s">
        <v>1650</v>
      </c>
      <c r="H104" s="4" t="s">
        <v>1670</v>
      </c>
      <c r="I104" s="4"/>
      <c r="J104" s="4"/>
      <c r="K104" s="4"/>
      <c r="L104" s="4"/>
      <c r="M104" s="4"/>
      <c r="N104" s="4"/>
      <c r="O104" s="4"/>
      <c r="P104" s="4"/>
      <c r="Q104" s="4"/>
      <c r="R104" s="3"/>
      <c r="S104" s="3" t="s">
        <v>1762</v>
      </c>
      <c r="T104" s="3" t="s">
        <v>1763</v>
      </c>
      <c r="U104" s="3" t="s">
        <v>1760</v>
      </c>
      <c r="V104" s="3" t="s">
        <v>1761</v>
      </c>
      <c r="W104" s="5" t="str">
        <f>IF($D104="","",VLOOKUP($B104,メインシート!$B$13:$D$18,2,0))</f>
        <v>秋田</v>
      </c>
      <c r="X104" s="5"/>
      <c r="Z104" s="1" t="s">
        <v>1533</v>
      </c>
      <c r="AA104" s="1" t="s">
        <v>1534</v>
      </c>
    </row>
    <row r="105" spans="1:27" hidden="1" outlineLevel="1" x14ac:dyDescent="0.15">
      <c r="A105" s="9">
        <v>102</v>
      </c>
      <c r="B105" s="5">
        <f t="shared" si="2"/>
        <v>3</v>
      </c>
      <c r="C105" s="71">
        <f t="shared" si="3"/>
        <v>30102</v>
      </c>
      <c r="D105" s="72">
        <v>102</v>
      </c>
      <c r="E105" s="4" t="s">
        <v>1619</v>
      </c>
      <c r="F105" s="4" t="s">
        <v>1640</v>
      </c>
      <c r="G105" s="4" t="s">
        <v>1659</v>
      </c>
      <c r="H105" s="4" t="s">
        <v>1679</v>
      </c>
      <c r="I105" s="4"/>
      <c r="J105" s="4"/>
      <c r="K105" s="4"/>
      <c r="L105" s="4"/>
      <c r="M105" s="4"/>
      <c r="N105" s="4"/>
      <c r="O105" s="4"/>
      <c r="P105" s="4"/>
      <c r="Q105" s="4"/>
      <c r="R105" s="3"/>
      <c r="S105" s="3" t="s">
        <v>1692</v>
      </c>
      <c r="T105" s="3" t="s">
        <v>1693</v>
      </c>
      <c r="U105" s="3" t="s">
        <v>1690</v>
      </c>
      <c r="V105" s="3" t="s">
        <v>1691</v>
      </c>
      <c r="W105" s="5" t="str">
        <f>IF($D105="","",VLOOKUP($B105,メインシート!$B$13:$D$18,2,0))</f>
        <v>秋田</v>
      </c>
      <c r="X105" s="5"/>
      <c r="Z105" s="1" t="s">
        <v>1498</v>
      </c>
      <c r="AA105" s="1" t="s">
        <v>1545</v>
      </c>
    </row>
    <row r="106" spans="1:27" hidden="1" outlineLevel="1" x14ac:dyDescent="0.15">
      <c r="A106" s="9">
        <v>103</v>
      </c>
      <c r="B106" s="5">
        <f t="shared" si="2"/>
        <v>3</v>
      </c>
      <c r="C106" s="71">
        <f t="shared" si="3"/>
        <v>30103</v>
      </c>
      <c r="D106" s="72">
        <v>103</v>
      </c>
      <c r="E106" s="4" t="s">
        <v>1618</v>
      </c>
      <c r="F106" s="4" t="s">
        <v>1639</v>
      </c>
      <c r="G106" s="4" t="s">
        <v>1658</v>
      </c>
      <c r="H106" s="4" t="s">
        <v>1678</v>
      </c>
      <c r="I106" s="4"/>
      <c r="J106" s="4"/>
      <c r="K106" s="4"/>
      <c r="L106" s="4"/>
      <c r="M106" s="4"/>
      <c r="N106" s="4"/>
      <c r="O106" s="4"/>
      <c r="P106" s="4"/>
      <c r="Q106" s="4"/>
      <c r="R106" s="3"/>
      <c r="S106" s="3" t="s">
        <v>1705</v>
      </c>
      <c r="T106" s="3" t="s">
        <v>1706</v>
      </c>
      <c r="U106" s="3" t="s">
        <v>1701</v>
      </c>
      <c r="V106" s="3" t="s">
        <v>1704</v>
      </c>
      <c r="W106" s="5" t="str">
        <f>IF($D106="","",VLOOKUP($B106,メインシート!$B$13:$D$18,2,0))</f>
        <v>秋田</v>
      </c>
      <c r="X106" s="5"/>
      <c r="Z106" s="1" t="s">
        <v>1503</v>
      </c>
      <c r="AA106" s="1" t="s">
        <v>1504</v>
      </c>
    </row>
    <row r="107" spans="1:27" hidden="1" outlineLevel="1" x14ac:dyDescent="0.15">
      <c r="A107" s="9">
        <v>104</v>
      </c>
      <c r="B107" s="5">
        <f t="shared" si="2"/>
        <v>3</v>
      </c>
      <c r="C107" s="71">
        <f t="shared" si="3"/>
        <v>30104</v>
      </c>
      <c r="D107" s="72">
        <v>104</v>
      </c>
      <c r="E107" s="4" t="s">
        <v>1617</v>
      </c>
      <c r="F107" s="4" t="s">
        <v>1638</v>
      </c>
      <c r="G107" s="4" t="s">
        <v>1657</v>
      </c>
      <c r="H107" s="4" t="s">
        <v>1677</v>
      </c>
      <c r="I107" s="4"/>
      <c r="J107" s="4"/>
      <c r="K107" s="4"/>
      <c r="L107" s="4"/>
      <c r="M107" s="4"/>
      <c r="N107" s="4"/>
      <c r="O107" s="4"/>
      <c r="P107" s="4"/>
      <c r="Q107" s="4"/>
      <c r="R107" s="3"/>
      <c r="S107" s="3" t="s">
        <v>1699</v>
      </c>
      <c r="T107" s="3" t="s">
        <v>1700</v>
      </c>
      <c r="U107" s="3" t="s">
        <v>1698</v>
      </c>
      <c r="V107" s="3" t="s">
        <v>1703</v>
      </c>
      <c r="W107" s="5" t="str">
        <f>IF($D107="","",VLOOKUP($B107,メインシート!$B$13:$D$18,2,0))</f>
        <v>秋田</v>
      </c>
      <c r="X107" s="5"/>
      <c r="Z107" s="1" t="s">
        <v>1501</v>
      </c>
      <c r="AA107" s="1" t="s">
        <v>1502</v>
      </c>
    </row>
    <row r="108" spans="1:27" hidden="1" outlineLevel="1" x14ac:dyDescent="0.15">
      <c r="A108" s="9">
        <v>105</v>
      </c>
      <c r="B108" s="5">
        <f t="shared" si="2"/>
        <v>3</v>
      </c>
      <c r="C108" s="71">
        <f t="shared" si="3"/>
        <v>30105</v>
      </c>
      <c r="D108" s="72">
        <v>105</v>
      </c>
      <c r="E108" s="4" t="s">
        <v>1615</v>
      </c>
      <c r="F108" s="4" t="s">
        <v>1636</v>
      </c>
      <c r="G108" s="4" t="s">
        <v>1655</v>
      </c>
      <c r="H108" s="4" t="s">
        <v>1675</v>
      </c>
      <c r="I108" s="4"/>
      <c r="J108" s="4"/>
      <c r="K108" s="4"/>
      <c r="L108" s="4"/>
      <c r="M108" s="4"/>
      <c r="N108" s="4"/>
      <c r="O108" s="4"/>
      <c r="P108" s="4"/>
      <c r="Q108" s="4"/>
      <c r="R108" s="3"/>
      <c r="S108" s="3" t="s">
        <v>1770</v>
      </c>
      <c r="T108" s="3" t="s">
        <v>1771</v>
      </c>
      <c r="U108" s="3" t="s">
        <v>1768</v>
      </c>
      <c r="V108" s="3" t="s">
        <v>1769</v>
      </c>
      <c r="W108" s="5" t="str">
        <f>IF($D108="","",VLOOKUP($B108,メインシート!$B$13:$D$18,2,0))</f>
        <v>秋田</v>
      </c>
      <c r="X108" s="5"/>
      <c r="Z108" s="1" t="s">
        <v>1523</v>
      </c>
      <c r="AA108" s="1" t="s">
        <v>1524</v>
      </c>
    </row>
    <row r="109" spans="1:27" hidden="1" outlineLevel="1" x14ac:dyDescent="0.15">
      <c r="A109" s="9">
        <v>106</v>
      </c>
      <c r="B109" s="5">
        <f t="shared" si="2"/>
        <v>3</v>
      </c>
      <c r="C109" s="71">
        <f t="shared" si="3"/>
        <v>30106</v>
      </c>
      <c r="D109" s="72">
        <v>106</v>
      </c>
      <c r="E109" s="4" t="s">
        <v>1603</v>
      </c>
      <c r="F109" s="4" t="s">
        <v>1604</v>
      </c>
      <c r="G109" s="4" t="s">
        <v>1605</v>
      </c>
      <c r="H109" s="4" t="s">
        <v>1606</v>
      </c>
      <c r="I109" s="4"/>
      <c r="J109" s="4"/>
      <c r="K109" s="4"/>
      <c r="L109" s="4"/>
      <c r="M109" s="4"/>
      <c r="N109" s="4"/>
      <c r="O109" s="4"/>
      <c r="P109" s="4"/>
      <c r="Q109" s="4"/>
      <c r="R109" s="3"/>
      <c r="S109" s="3" t="s">
        <v>1607</v>
      </c>
      <c r="T109" s="3" t="s">
        <v>1608</v>
      </c>
      <c r="U109" s="3" t="s">
        <v>1609</v>
      </c>
      <c r="V109" s="3" t="s">
        <v>1702</v>
      </c>
      <c r="W109" s="5" t="str">
        <f>IF($D109="","",VLOOKUP($B109,メインシート!$B$13:$D$18,2,0))</f>
        <v>秋田</v>
      </c>
      <c r="X109" s="5"/>
      <c r="Z109" s="1" t="s">
        <v>1515</v>
      </c>
      <c r="AA109" s="1" t="s">
        <v>1516</v>
      </c>
    </row>
    <row r="110" spans="1:27" hidden="1" outlineLevel="1" x14ac:dyDescent="0.15">
      <c r="A110" s="9">
        <v>107</v>
      </c>
      <c r="B110" s="5">
        <f t="shared" si="2"/>
        <v>3</v>
      </c>
      <c r="C110" s="71">
        <f t="shared" si="3"/>
        <v>30107</v>
      </c>
      <c r="D110" s="72">
        <v>107</v>
      </c>
      <c r="E110" s="4" t="s">
        <v>1612</v>
      </c>
      <c r="F110" s="4" t="s">
        <v>1633</v>
      </c>
      <c r="G110" s="4" t="s">
        <v>1652</v>
      </c>
      <c r="H110" s="4" t="s">
        <v>1672</v>
      </c>
      <c r="I110" s="4"/>
      <c r="J110" s="4"/>
      <c r="K110" s="4"/>
      <c r="L110" s="4"/>
      <c r="M110" s="4"/>
      <c r="N110" s="4"/>
      <c r="O110" s="4"/>
      <c r="P110" s="4"/>
      <c r="Q110" s="4"/>
      <c r="R110" s="3"/>
      <c r="S110" s="3" t="s">
        <v>1721</v>
      </c>
      <c r="T110" s="3" t="s">
        <v>1722</v>
      </c>
      <c r="U110" s="3" t="s">
        <v>1719</v>
      </c>
      <c r="V110" s="3" t="s">
        <v>1720</v>
      </c>
      <c r="W110" s="5" t="str">
        <f>IF($D110="","",VLOOKUP($B110,メインシート!$B$13:$D$18,2,0))</f>
        <v>秋田</v>
      </c>
      <c r="X110" s="5"/>
      <c r="Z110" s="1" t="s">
        <v>1513</v>
      </c>
      <c r="AA110" s="1" t="s">
        <v>1514</v>
      </c>
    </row>
    <row r="111" spans="1:27" hidden="1" outlineLevel="1" x14ac:dyDescent="0.15">
      <c r="A111" s="9">
        <v>108</v>
      </c>
      <c r="B111" s="5">
        <f t="shared" si="2"/>
        <v>3</v>
      </c>
      <c r="C111" s="71">
        <f t="shared" si="3"/>
        <v>30108</v>
      </c>
      <c r="D111" s="72">
        <v>108</v>
      </c>
      <c r="E111" s="4" t="s">
        <v>1611</v>
      </c>
      <c r="F111" s="4" t="s">
        <v>1632</v>
      </c>
      <c r="G111" s="4" t="s">
        <v>1651</v>
      </c>
      <c r="H111" s="4" t="s">
        <v>1671</v>
      </c>
      <c r="I111" s="4"/>
      <c r="J111" s="4"/>
      <c r="K111" s="4"/>
      <c r="L111" s="4"/>
      <c r="M111" s="4"/>
      <c r="N111" s="4"/>
      <c r="O111" s="4"/>
      <c r="P111" s="4"/>
      <c r="Q111" s="4"/>
      <c r="R111" s="3"/>
      <c r="S111" s="3" t="s">
        <v>1696</v>
      </c>
      <c r="T111" s="3" t="s">
        <v>1697</v>
      </c>
      <c r="U111" s="3" t="s">
        <v>1694</v>
      </c>
      <c r="V111" s="3" t="s">
        <v>1695</v>
      </c>
      <c r="W111" s="5" t="str">
        <f>IF($D111="","",VLOOKUP($B111,メインシート!$B$13:$D$18,2,0))</f>
        <v>秋田</v>
      </c>
      <c r="X111" s="5"/>
      <c r="Z111" s="1" t="s">
        <v>1499</v>
      </c>
      <c r="AA111" s="1" t="s">
        <v>1500</v>
      </c>
    </row>
    <row r="112" spans="1:27" hidden="1" outlineLevel="1" x14ac:dyDescent="0.15">
      <c r="A112" s="9">
        <v>109</v>
      </c>
      <c r="B112" s="5">
        <f t="shared" si="2"/>
        <v>3</v>
      </c>
      <c r="C112" s="71">
        <f t="shared" si="3"/>
        <v>30109</v>
      </c>
      <c r="D112" s="72">
        <v>109</v>
      </c>
      <c r="E112" s="4" t="s">
        <v>1614</v>
      </c>
      <c r="F112" s="4" t="s">
        <v>1635</v>
      </c>
      <c r="G112" s="4" t="s">
        <v>1654</v>
      </c>
      <c r="H112" s="4" t="s">
        <v>1674</v>
      </c>
      <c r="I112" s="4"/>
      <c r="J112" s="4"/>
      <c r="K112" s="4"/>
      <c r="L112" s="4"/>
      <c r="M112" s="4"/>
      <c r="N112" s="4"/>
      <c r="O112" s="4"/>
      <c r="P112" s="4"/>
      <c r="Q112" s="4"/>
      <c r="R112" s="3"/>
      <c r="S112" s="3" t="s">
        <v>1766</v>
      </c>
      <c r="T112" s="3" t="s">
        <v>1767</v>
      </c>
      <c r="U112" s="3" t="s">
        <v>1764</v>
      </c>
      <c r="V112" s="3" t="s">
        <v>1765</v>
      </c>
      <c r="W112" s="5" t="str">
        <f>IF($D112="","",VLOOKUP($B112,メインシート!$B$13:$D$18,2,0))</f>
        <v>秋田</v>
      </c>
      <c r="X112" s="5"/>
      <c r="Z112" s="1" t="s">
        <v>1521</v>
      </c>
      <c r="AA112" s="1" t="s">
        <v>1522</v>
      </c>
    </row>
    <row r="113" spans="1:27" hidden="1" outlineLevel="1" x14ac:dyDescent="0.15">
      <c r="A113" s="9">
        <v>110</v>
      </c>
      <c r="B113" s="5">
        <f t="shared" si="2"/>
        <v>3</v>
      </c>
      <c r="C113" s="71">
        <f t="shared" si="3"/>
        <v>30110</v>
      </c>
      <c r="D113" s="72">
        <v>110</v>
      </c>
      <c r="E113" s="4" t="s">
        <v>1564</v>
      </c>
      <c r="F113" s="4" t="s">
        <v>1565</v>
      </c>
      <c r="G113" s="4" t="s">
        <v>1566</v>
      </c>
      <c r="H113" s="4" t="s">
        <v>1567</v>
      </c>
      <c r="I113" s="4"/>
      <c r="J113" s="4"/>
      <c r="K113" s="4"/>
      <c r="L113" s="4"/>
      <c r="M113" s="4"/>
      <c r="N113" s="4"/>
      <c r="O113" s="4"/>
      <c r="P113" s="4"/>
      <c r="Q113" s="4"/>
      <c r="R113" s="3"/>
      <c r="S113" s="3" t="s">
        <v>1568</v>
      </c>
      <c r="T113" s="3" t="s">
        <v>1569</v>
      </c>
      <c r="U113" s="3" t="s">
        <v>1570</v>
      </c>
      <c r="V113" s="3" t="s">
        <v>1731</v>
      </c>
      <c r="W113" s="5" t="str">
        <f>IF($D113="","",VLOOKUP($B113,メインシート!$B$13:$D$18,2,0))</f>
        <v>秋田</v>
      </c>
      <c r="X113" s="5"/>
      <c r="Z113" s="1" t="s">
        <v>1546</v>
      </c>
      <c r="AA113" s="1" t="s">
        <v>1547</v>
      </c>
    </row>
    <row r="114" spans="1:27" hidden="1" outlineLevel="1" x14ac:dyDescent="0.15">
      <c r="A114" s="9">
        <v>111</v>
      </c>
      <c r="B114" s="5">
        <f t="shared" si="2"/>
        <v>3</v>
      </c>
      <c r="C114" s="71">
        <f t="shared" si="3"/>
        <v>30111</v>
      </c>
      <c r="D114" s="72">
        <v>111</v>
      </c>
      <c r="E114" s="4" t="s">
        <v>1571</v>
      </c>
      <c r="F114" s="4" t="s">
        <v>1572</v>
      </c>
      <c r="G114" s="4" t="s">
        <v>1573</v>
      </c>
      <c r="H114" s="4" t="s">
        <v>1574</v>
      </c>
      <c r="I114" s="4"/>
      <c r="J114" s="4"/>
      <c r="K114" s="4"/>
      <c r="L114" s="4"/>
      <c r="M114" s="4"/>
      <c r="N114" s="4"/>
      <c r="O114" s="4"/>
      <c r="P114" s="4"/>
      <c r="Q114" s="4"/>
      <c r="R114" s="3"/>
      <c r="S114" s="3" t="s">
        <v>1575</v>
      </c>
      <c r="T114" s="3" t="s">
        <v>1576</v>
      </c>
      <c r="U114" s="3" t="s">
        <v>1577</v>
      </c>
      <c r="V114" s="3" t="s">
        <v>1578</v>
      </c>
      <c r="W114" s="5" t="str">
        <f>IF($D114="","",VLOOKUP($B114,メインシート!$B$13:$D$18,2,0))</f>
        <v>秋田</v>
      </c>
      <c r="X114" s="5"/>
      <c r="Z114" s="1" t="s">
        <v>1511</v>
      </c>
      <c r="AA114" s="1" t="s">
        <v>1512</v>
      </c>
    </row>
    <row r="115" spans="1:27" hidden="1" outlineLevel="1" x14ac:dyDescent="0.15">
      <c r="A115" s="9">
        <v>112</v>
      </c>
      <c r="B115" s="5">
        <f t="shared" si="2"/>
        <v>3</v>
      </c>
      <c r="C115" s="71">
        <f t="shared" si="3"/>
        <v>30112</v>
      </c>
      <c r="D115" s="72">
        <v>112</v>
      </c>
      <c r="E115" s="4" t="s">
        <v>1616</v>
      </c>
      <c r="F115" s="4" t="s">
        <v>1637</v>
      </c>
      <c r="G115" s="4" t="s">
        <v>1656</v>
      </c>
      <c r="H115" s="4" t="s">
        <v>1676</v>
      </c>
      <c r="I115" s="4"/>
      <c r="J115" s="4"/>
      <c r="K115" s="4"/>
      <c r="L115" s="4"/>
      <c r="M115" s="4"/>
      <c r="N115" s="4"/>
      <c r="O115" s="4"/>
      <c r="P115" s="4"/>
      <c r="Q115" s="4"/>
      <c r="R115" s="3"/>
      <c r="S115" s="3" t="s">
        <v>1758</v>
      </c>
      <c r="T115" s="3" t="s">
        <v>1759</v>
      </c>
      <c r="U115" s="3" t="s">
        <v>1756</v>
      </c>
      <c r="V115" s="3" t="s">
        <v>1757</v>
      </c>
      <c r="W115" s="5" t="str">
        <f>IF($D115="","",VLOOKUP($B115,メインシート!$B$13:$D$18,2,0))</f>
        <v>秋田</v>
      </c>
      <c r="X115" s="5"/>
      <c r="Z115" s="1" t="s">
        <v>1531</v>
      </c>
      <c r="AA115" s="1" t="s">
        <v>1532</v>
      </c>
    </row>
    <row r="116" spans="1:27" hidden="1" outlineLevel="1" x14ac:dyDescent="0.15">
      <c r="A116" s="9">
        <v>113</v>
      </c>
      <c r="B116" s="5">
        <f t="shared" si="2"/>
        <v>3</v>
      </c>
      <c r="C116" s="71">
        <f t="shared" si="3"/>
        <v>30113</v>
      </c>
      <c r="D116" s="72">
        <v>113</v>
      </c>
      <c r="E116" s="4" t="s">
        <v>1630</v>
      </c>
      <c r="F116" s="4" t="s">
        <v>1630</v>
      </c>
      <c r="G116" s="4" t="s">
        <v>1668</v>
      </c>
      <c r="H116" s="4" t="s">
        <v>1689</v>
      </c>
      <c r="I116" s="4"/>
      <c r="J116" s="4"/>
      <c r="K116" s="4"/>
      <c r="L116" s="4"/>
      <c r="M116" s="4"/>
      <c r="N116" s="4"/>
      <c r="O116" s="4"/>
      <c r="P116" s="4"/>
      <c r="Q116" s="4"/>
      <c r="R116" s="3"/>
      <c r="S116" s="3" t="s">
        <v>1749</v>
      </c>
      <c r="T116" s="3" t="s">
        <v>1750</v>
      </c>
      <c r="U116" s="3" t="s">
        <v>1748</v>
      </c>
      <c r="V116" s="3" t="s">
        <v>1751</v>
      </c>
      <c r="W116" s="5" t="str">
        <f>IF($D116="","",VLOOKUP($B116,メインシート!$B$13:$D$18,2,0))</f>
        <v>秋田</v>
      </c>
      <c r="X116" s="5"/>
      <c r="Z116" s="1" t="s">
        <v>1539</v>
      </c>
      <c r="AA116" s="1" t="s">
        <v>1540</v>
      </c>
    </row>
    <row r="117" spans="1:27" hidden="1" outlineLevel="1" x14ac:dyDescent="0.15">
      <c r="A117" s="9">
        <v>114</v>
      </c>
      <c r="B117" s="5">
        <f t="shared" si="2"/>
        <v>3</v>
      </c>
      <c r="C117" s="71">
        <f t="shared" si="3"/>
        <v>30114</v>
      </c>
      <c r="D117" s="72">
        <v>114</v>
      </c>
      <c r="E117" s="4" t="s">
        <v>1595</v>
      </c>
      <c r="F117" s="4" t="s">
        <v>1596</v>
      </c>
      <c r="G117" s="4" t="s">
        <v>1597</v>
      </c>
      <c r="H117" s="4" t="s">
        <v>1598</v>
      </c>
      <c r="I117" s="4"/>
      <c r="J117" s="4"/>
      <c r="K117" s="4"/>
      <c r="L117" s="4"/>
      <c r="M117" s="4"/>
      <c r="N117" s="4"/>
      <c r="O117" s="4"/>
      <c r="P117" s="4"/>
      <c r="Q117" s="4"/>
      <c r="R117" s="3"/>
      <c r="S117" s="3" t="s">
        <v>1599</v>
      </c>
      <c r="T117" s="3" t="s">
        <v>1600</v>
      </c>
      <c r="U117" s="3" t="s">
        <v>1601</v>
      </c>
      <c r="V117" s="3" t="s">
        <v>1602</v>
      </c>
      <c r="W117" s="5" t="str">
        <f>IF($D117="","",VLOOKUP($B117,メインシート!$B$13:$D$18,2,0))</f>
        <v>秋田</v>
      </c>
      <c r="X117" s="5"/>
    </row>
    <row r="118" spans="1:27" hidden="1" outlineLevel="1" x14ac:dyDescent="0.15">
      <c r="A118" s="9">
        <v>115</v>
      </c>
      <c r="B118" s="5">
        <f t="shared" si="2"/>
        <v>3</v>
      </c>
      <c r="C118" s="71">
        <f t="shared" si="3"/>
        <v>30115</v>
      </c>
      <c r="D118" s="72">
        <v>115</v>
      </c>
      <c r="E118" s="4" t="s">
        <v>1579</v>
      </c>
      <c r="F118" s="4" t="s">
        <v>1580</v>
      </c>
      <c r="G118" s="4" t="s">
        <v>1581</v>
      </c>
      <c r="H118" s="4" t="s">
        <v>1582</v>
      </c>
      <c r="I118" s="4"/>
      <c r="J118" s="4"/>
      <c r="K118" s="4"/>
      <c r="L118" s="4"/>
      <c r="M118" s="4"/>
      <c r="N118" s="4"/>
      <c r="O118" s="4"/>
      <c r="P118" s="4"/>
      <c r="Q118" s="4"/>
      <c r="R118" s="3"/>
      <c r="S118" s="3" t="s">
        <v>1583</v>
      </c>
      <c r="T118" s="3" t="s">
        <v>1584</v>
      </c>
      <c r="U118" s="3" t="s">
        <v>1585</v>
      </c>
      <c r="V118" s="3" t="s">
        <v>1586</v>
      </c>
      <c r="W118" s="5" t="str">
        <f>IF($D118="","",VLOOKUP($B118,メインシート!$B$13:$D$18,2,0))</f>
        <v>秋田</v>
      </c>
      <c r="X118" s="5"/>
    </row>
    <row r="119" spans="1:27" hidden="1" outlineLevel="1" x14ac:dyDescent="0.15">
      <c r="A119" s="9">
        <v>116</v>
      </c>
      <c r="B119" s="5">
        <f t="shared" si="2"/>
        <v>3</v>
      </c>
      <c r="C119" s="71">
        <f t="shared" si="3"/>
        <v>30116</v>
      </c>
      <c r="D119" s="72">
        <v>116</v>
      </c>
      <c r="E119" s="4" t="s">
        <v>1623</v>
      </c>
      <c r="F119" s="4" t="s">
        <v>1644</v>
      </c>
      <c r="G119" s="4" t="s">
        <v>1662</v>
      </c>
      <c r="H119" s="4" t="s">
        <v>1683</v>
      </c>
      <c r="I119" s="4"/>
      <c r="J119" s="4"/>
      <c r="K119" s="4"/>
      <c r="L119" s="4"/>
      <c r="M119" s="4"/>
      <c r="N119" s="4"/>
      <c r="O119" s="4"/>
      <c r="P119" s="4"/>
      <c r="Q119" s="4"/>
      <c r="R119" s="3"/>
      <c r="S119" s="3" t="s">
        <v>1708</v>
      </c>
      <c r="T119" s="3" t="s">
        <v>1709</v>
      </c>
      <c r="U119" s="3" t="s">
        <v>1707</v>
      </c>
      <c r="V119" s="3" t="s">
        <v>1712</v>
      </c>
      <c r="W119" s="5" t="str">
        <f>IF($D119="","",VLOOKUP($B119,メインシート!$B$13:$D$18,2,0))</f>
        <v>秋田</v>
      </c>
      <c r="X119" s="5"/>
      <c r="Z119" s="1" t="s">
        <v>1505</v>
      </c>
      <c r="AA119" s="1" t="s">
        <v>1506</v>
      </c>
    </row>
    <row r="120" spans="1:27" hidden="1" outlineLevel="1" x14ac:dyDescent="0.15">
      <c r="A120" s="9">
        <v>117</v>
      </c>
      <c r="B120" s="5">
        <f t="shared" si="2"/>
        <v>3</v>
      </c>
      <c r="C120" s="71">
        <f t="shared" si="3"/>
        <v>30117</v>
      </c>
      <c r="D120" s="72">
        <v>117</v>
      </c>
      <c r="E120" s="4" t="s">
        <v>1625</v>
      </c>
      <c r="F120" s="4" t="s">
        <v>2636</v>
      </c>
      <c r="G120" s="4" t="s">
        <v>2637</v>
      </c>
      <c r="H120" s="4" t="s">
        <v>2638</v>
      </c>
      <c r="I120" s="4"/>
      <c r="J120" s="4"/>
      <c r="K120" s="4"/>
      <c r="L120" s="4"/>
      <c r="M120" s="4"/>
      <c r="N120" s="4"/>
      <c r="O120" s="4"/>
      <c r="P120" s="4"/>
      <c r="Q120" s="4"/>
      <c r="R120" s="3"/>
      <c r="S120" s="3" t="s">
        <v>1754</v>
      </c>
      <c r="T120" s="3" t="s">
        <v>1755</v>
      </c>
      <c r="U120" s="3" t="s">
        <v>1752</v>
      </c>
      <c r="V120" s="3" t="s">
        <v>1753</v>
      </c>
      <c r="W120" s="5" t="str">
        <f>IF($D120="","",VLOOKUP($B120,メインシート!$B$13:$D$18,2,0))</f>
        <v>秋田</v>
      </c>
      <c r="X120" s="5"/>
      <c r="Z120" s="1" t="s">
        <v>1535</v>
      </c>
      <c r="AA120" s="1" t="s">
        <v>1536</v>
      </c>
    </row>
    <row r="121" spans="1:27" hidden="1" outlineLevel="1" x14ac:dyDescent="0.15">
      <c r="A121" s="9">
        <v>118</v>
      </c>
      <c r="B121" s="5">
        <f t="shared" si="2"/>
        <v>3</v>
      </c>
      <c r="C121" s="71">
        <f t="shared" si="3"/>
        <v>30118</v>
      </c>
      <c r="D121" s="72">
        <v>118</v>
      </c>
      <c r="E121" s="4" t="s">
        <v>1622</v>
      </c>
      <c r="F121" s="4" t="s">
        <v>1643</v>
      </c>
      <c r="G121" s="4" t="s">
        <v>1661</v>
      </c>
      <c r="H121" s="4" t="s">
        <v>1682</v>
      </c>
      <c r="I121" s="4"/>
      <c r="J121" s="4"/>
      <c r="K121" s="4"/>
      <c r="L121" s="4"/>
      <c r="M121" s="4"/>
      <c r="N121" s="4"/>
      <c r="O121" s="4"/>
      <c r="P121" s="4"/>
      <c r="Q121" s="4"/>
      <c r="R121" s="3"/>
      <c r="S121" s="3" t="s">
        <v>1713</v>
      </c>
      <c r="T121" s="3" t="s">
        <v>1714</v>
      </c>
      <c r="U121" s="3" t="s">
        <v>1710</v>
      </c>
      <c r="V121" s="3" t="s">
        <v>1711</v>
      </c>
      <c r="W121" s="5" t="str">
        <f>IF($D121="","",VLOOKUP($B121,メインシート!$B$13:$D$18,2,0))</f>
        <v>秋田</v>
      </c>
      <c r="X121" s="5"/>
      <c r="Z121" s="1" t="s">
        <v>1507</v>
      </c>
      <c r="AA121" s="1" t="s">
        <v>1508</v>
      </c>
    </row>
    <row r="122" spans="1:27" hidden="1" outlineLevel="1" x14ac:dyDescent="0.15">
      <c r="A122" s="9">
        <v>119</v>
      </c>
      <c r="B122" s="5">
        <f t="shared" si="2"/>
        <v>3</v>
      </c>
      <c r="C122" s="71">
        <f t="shared" si="3"/>
        <v>30119</v>
      </c>
      <c r="D122" s="72">
        <v>119</v>
      </c>
      <c r="E122" s="4" t="s">
        <v>1628</v>
      </c>
      <c r="F122" s="4" t="s">
        <v>1648</v>
      </c>
      <c r="G122" s="4" t="s">
        <v>1666</v>
      </c>
      <c r="H122" s="4" t="s">
        <v>1687</v>
      </c>
      <c r="I122" s="4"/>
      <c r="J122" s="4"/>
      <c r="K122" s="4"/>
      <c r="L122" s="4"/>
      <c r="M122" s="4"/>
      <c r="N122" s="4"/>
      <c r="O122" s="4"/>
      <c r="P122" s="4"/>
      <c r="Q122" s="4"/>
      <c r="R122" s="3"/>
      <c r="S122" s="3" t="s">
        <v>1725</v>
      </c>
      <c r="T122" s="3" t="s">
        <v>1726</v>
      </c>
      <c r="U122" s="3" t="s">
        <v>1723</v>
      </c>
      <c r="V122" s="3" t="s">
        <v>1724</v>
      </c>
      <c r="W122" s="5" t="str">
        <f>IF($D122="","",VLOOKUP($B122,メインシート!$B$13:$D$18,2,0))</f>
        <v>秋田</v>
      </c>
      <c r="X122" s="5"/>
      <c r="Z122" s="1" t="s">
        <v>1519</v>
      </c>
      <c r="AA122" s="1" t="s">
        <v>1520</v>
      </c>
    </row>
    <row r="123" spans="1:27" hidden="1" outlineLevel="1" x14ac:dyDescent="0.15">
      <c r="A123" s="9">
        <v>120</v>
      </c>
      <c r="B123" s="5">
        <f t="shared" si="2"/>
        <v>3</v>
      </c>
      <c r="C123" s="71">
        <f t="shared" si="3"/>
        <v>30120</v>
      </c>
      <c r="D123" s="72">
        <v>120</v>
      </c>
      <c r="E123" s="4" t="s">
        <v>1629</v>
      </c>
      <c r="F123" s="4" t="s">
        <v>1649</v>
      </c>
      <c r="G123" s="4" t="s">
        <v>1667</v>
      </c>
      <c r="H123" s="4" t="s">
        <v>1688</v>
      </c>
      <c r="I123" s="4"/>
      <c r="J123" s="4"/>
      <c r="K123" s="4"/>
      <c r="L123" s="4"/>
      <c r="M123" s="4"/>
      <c r="N123" s="4"/>
      <c r="O123" s="4"/>
      <c r="P123" s="4"/>
      <c r="Q123" s="4"/>
      <c r="R123" s="3"/>
      <c r="S123" s="3" t="s">
        <v>1741</v>
      </c>
      <c r="T123" s="3" t="s">
        <v>1742</v>
      </c>
      <c r="U123" s="3" t="s">
        <v>1740</v>
      </c>
      <c r="V123" s="3" t="s">
        <v>1743</v>
      </c>
      <c r="W123" s="5" t="str">
        <f>IF($D123="","",VLOOKUP($B123,メインシート!$B$13:$D$18,2,0))</f>
        <v>秋田</v>
      </c>
      <c r="X123" s="5"/>
      <c r="Z123" s="1" t="s">
        <v>1543</v>
      </c>
      <c r="AA123" s="1" t="s">
        <v>1544</v>
      </c>
    </row>
    <row r="124" spans="1:27" hidden="1" outlineLevel="1" x14ac:dyDescent="0.15">
      <c r="A124" s="9">
        <v>121</v>
      </c>
      <c r="B124" s="5">
        <f t="shared" si="2"/>
        <v>3</v>
      </c>
      <c r="C124" s="71">
        <f t="shared" si="3"/>
        <v>30121</v>
      </c>
      <c r="D124" s="72">
        <v>121</v>
      </c>
      <c r="E124" s="4" t="s">
        <v>1548</v>
      </c>
      <c r="F124" s="4" t="s">
        <v>1549</v>
      </c>
      <c r="G124" s="4" t="s">
        <v>1550</v>
      </c>
      <c r="H124" s="4" t="s">
        <v>1551</v>
      </c>
      <c r="I124" s="4"/>
      <c r="J124" s="4"/>
      <c r="K124" s="4"/>
      <c r="L124" s="4"/>
      <c r="M124" s="4"/>
      <c r="N124" s="4"/>
      <c r="O124" s="4"/>
      <c r="P124" s="4"/>
      <c r="Q124" s="4"/>
      <c r="R124" s="3"/>
      <c r="S124" s="3" t="s">
        <v>1552</v>
      </c>
      <c r="T124" s="3" t="s">
        <v>1553</v>
      </c>
      <c r="U124" s="3" t="s">
        <v>1554</v>
      </c>
      <c r="V124" s="3" t="s">
        <v>1555</v>
      </c>
      <c r="W124" s="5" t="str">
        <f>IF($D124="","",VLOOKUP($B124,メインシート!$B$13:$D$18,2,0))</f>
        <v>秋田</v>
      </c>
      <c r="X124" s="5"/>
      <c r="Z124" s="1" t="s">
        <v>1537</v>
      </c>
      <c r="AA124" s="1" t="s">
        <v>1538</v>
      </c>
    </row>
    <row r="125" spans="1:27" hidden="1" outlineLevel="1" x14ac:dyDescent="0.15">
      <c r="A125" s="9">
        <v>122</v>
      </c>
      <c r="B125" s="5">
        <f t="shared" si="2"/>
        <v>3</v>
      </c>
      <c r="C125" s="71">
        <f t="shared" si="3"/>
        <v>30122</v>
      </c>
      <c r="D125" s="72">
        <v>122</v>
      </c>
      <c r="E125" s="4" t="s">
        <v>1626</v>
      </c>
      <c r="F125" s="4" t="s">
        <v>1646</v>
      </c>
      <c r="G125" s="4" t="s">
        <v>1664</v>
      </c>
      <c r="H125" s="4" t="s">
        <v>1685</v>
      </c>
      <c r="I125" s="4"/>
      <c r="J125" s="4"/>
      <c r="K125" s="4"/>
      <c r="L125" s="4"/>
      <c r="M125" s="4"/>
      <c r="N125" s="4"/>
      <c r="O125" s="4"/>
      <c r="P125" s="4"/>
      <c r="Q125" s="4"/>
      <c r="R125" s="3"/>
      <c r="S125" s="3" t="s">
        <v>1717</v>
      </c>
      <c r="T125" s="3" t="s">
        <v>1718</v>
      </c>
      <c r="U125" s="3" t="s">
        <v>1715</v>
      </c>
      <c r="V125" s="3" t="s">
        <v>1716</v>
      </c>
      <c r="W125" s="5" t="str">
        <f>IF($D125="","",VLOOKUP($B125,メインシート!$B$13:$D$18,2,0))</f>
        <v>秋田</v>
      </c>
      <c r="X125" s="5"/>
      <c r="Z125" s="1" t="s">
        <v>1509</v>
      </c>
      <c r="AA125" s="1" t="s">
        <v>1510</v>
      </c>
    </row>
    <row r="126" spans="1:27" hidden="1" outlineLevel="1" x14ac:dyDescent="0.15">
      <c r="A126" s="9">
        <v>123</v>
      </c>
      <c r="B126" s="5">
        <f t="shared" si="2"/>
        <v>3</v>
      </c>
      <c r="C126" s="71">
        <f t="shared" si="3"/>
        <v>30123</v>
      </c>
      <c r="D126" s="72">
        <v>123</v>
      </c>
      <c r="E126" s="4" t="s">
        <v>1587</v>
      </c>
      <c r="F126" s="4" t="s">
        <v>1588</v>
      </c>
      <c r="G126" s="4" t="s">
        <v>1589</v>
      </c>
      <c r="H126" s="4" t="s">
        <v>1590</v>
      </c>
      <c r="I126" s="4"/>
      <c r="J126" s="4"/>
      <c r="K126" s="4"/>
      <c r="L126" s="4"/>
      <c r="M126" s="4"/>
      <c r="N126" s="4"/>
      <c r="O126" s="4"/>
      <c r="P126" s="4"/>
      <c r="Q126" s="4"/>
      <c r="R126" s="3"/>
      <c r="S126" s="3" t="s">
        <v>1591</v>
      </c>
      <c r="T126" s="3" t="s">
        <v>1592</v>
      </c>
      <c r="U126" s="3" t="s">
        <v>1593</v>
      </c>
      <c r="V126" s="3" t="s">
        <v>1594</v>
      </c>
      <c r="W126" s="5" t="str">
        <f>IF($D126="","",VLOOKUP($B126,メインシート!$B$13:$D$18,2,0))</f>
        <v>秋田</v>
      </c>
      <c r="X126" s="5"/>
    </row>
    <row r="127" spans="1:27" hidden="1" outlineLevel="1" x14ac:dyDescent="0.15">
      <c r="A127" s="9">
        <v>124</v>
      </c>
      <c r="B127" s="5">
        <f t="shared" si="2"/>
        <v>3</v>
      </c>
      <c r="C127" s="71">
        <f t="shared" si="3"/>
        <v>30124</v>
      </c>
      <c r="D127" s="72">
        <v>124</v>
      </c>
      <c r="E127" s="4" t="s">
        <v>1621</v>
      </c>
      <c r="F127" s="4" t="s">
        <v>1642</v>
      </c>
      <c r="G127" s="4" t="s">
        <v>1669</v>
      </c>
      <c r="H127" s="4" t="s">
        <v>1681</v>
      </c>
      <c r="I127" s="4"/>
      <c r="J127" s="4"/>
      <c r="K127" s="4"/>
      <c r="L127" s="4"/>
      <c r="M127" s="4"/>
      <c r="N127" s="4"/>
      <c r="O127" s="4"/>
      <c r="P127" s="4"/>
      <c r="Q127" s="4"/>
      <c r="R127" s="3"/>
      <c r="S127" s="3" t="s">
        <v>1738</v>
      </c>
      <c r="T127" s="3" t="s">
        <v>1739</v>
      </c>
      <c r="U127" s="3" t="s">
        <v>1736</v>
      </c>
      <c r="V127" s="3" t="s">
        <v>1737</v>
      </c>
      <c r="W127" s="5" t="str">
        <f>IF($D127="","",VLOOKUP($B127,メインシート!$B$13:$D$18,2,0))</f>
        <v>秋田</v>
      </c>
      <c r="X127" s="5"/>
      <c r="Z127" s="1" t="s">
        <v>1517</v>
      </c>
      <c r="AA127" s="1" t="s">
        <v>1518</v>
      </c>
    </row>
    <row r="128" spans="1:27" hidden="1" outlineLevel="1" x14ac:dyDescent="0.15">
      <c r="A128" s="9">
        <v>125</v>
      </c>
      <c r="B128" s="5">
        <f t="shared" si="2"/>
        <v>3</v>
      </c>
      <c r="C128" s="71">
        <f t="shared" si="3"/>
        <v>30125</v>
      </c>
      <c r="D128" s="72">
        <v>125</v>
      </c>
      <c r="E128" s="4" t="s">
        <v>1627</v>
      </c>
      <c r="F128" s="4" t="s">
        <v>1647</v>
      </c>
      <c r="G128" s="4" t="s">
        <v>1665</v>
      </c>
      <c r="H128" s="4" t="s">
        <v>1686</v>
      </c>
      <c r="I128" s="4"/>
      <c r="J128" s="4"/>
      <c r="K128" s="4"/>
      <c r="L128" s="4"/>
      <c r="M128" s="4"/>
      <c r="N128" s="4"/>
      <c r="O128" s="4"/>
      <c r="P128" s="4"/>
      <c r="Q128" s="4"/>
      <c r="R128" s="3"/>
      <c r="S128" s="3" t="s">
        <v>1729</v>
      </c>
      <c r="T128" s="3" t="s">
        <v>1730</v>
      </c>
      <c r="U128" s="3" t="s">
        <v>1727</v>
      </c>
      <c r="V128" s="3" t="s">
        <v>1728</v>
      </c>
      <c r="W128" s="5" t="str">
        <f>IF($D128="","",VLOOKUP($B128,メインシート!$B$13:$D$18,2,0))</f>
        <v>秋田</v>
      </c>
      <c r="X128" s="5"/>
      <c r="Z128" s="1" t="s">
        <v>1525</v>
      </c>
      <c r="AA128" s="1" t="s">
        <v>1526</v>
      </c>
    </row>
    <row r="129" spans="1:27" hidden="1" outlineLevel="1" x14ac:dyDescent="0.15">
      <c r="A129" s="9">
        <v>126</v>
      </c>
      <c r="B129" s="5">
        <f t="shared" si="2"/>
        <v>3</v>
      </c>
      <c r="C129" s="71">
        <f t="shared" si="3"/>
        <v>30126</v>
      </c>
      <c r="D129" s="72">
        <v>126</v>
      </c>
      <c r="E129" s="4" t="s">
        <v>1620</v>
      </c>
      <c r="F129" s="4" t="s">
        <v>1641</v>
      </c>
      <c r="G129" s="4" t="s">
        <v>1660</v>
      </c>
      <c r="H129" s="4" t="s">
        <v>1680</v>
      </c>
      <c r="I129" s="4"/>
      <c r="J129" s="4"/>
      <c r="K129" s="4"/>
      <c r="L129" s="4"/>
      <c r="M129" s="4"/>
      <c r="N129" s="4"/>
      <c r="O129" s="4"/>
      <c r="P129" s="4"/>
      <c r="Q129" s="4"/>
      <c r="R129" s="3"/>
      <c r="S129" s="3" t="s">
        <v>1734</v>
      </c>
      <c r="T129" s="3" t="s">
        <v>1735</v>
      </c>
      <c r="U129" s="3" t="s">
        <v>1732</v>
      </c>
      <c r="V129" s="3" t="s">
        <v>1733</v>
      </c>
      <c r="W129" s="5" t="str">
        <f>IF($D129="","",VLOOKUP($B129,メインシート!$B$13:$D$18,2,0))</f>
        <v>秋田</v>
      </c>
      <c r="X129" s="5"/>
      <c r="Z129" s="1" t="s">
        <v>1527</v>
      </c>
      <c r="AA129" s="1" t="s">
        <v>1528</v>
      </c>
    </row>
    <row r="130" spans="1:27" hidden="1" outlineLevel="1" x14ac:dyDescent="0.15">
      <c r="A130" s="9">
        <v>127</v>
      </c>
      <c r="B130" s="5">
        <f t="shared" si="2"/>
        <v>3</v>
      </c>
      <c r="C130" s="71">
        <f t="shared" si="3"/>
        <v>30127</v>
      </c>
      <c r="D130" s="72">
        <v>127</v>
      </c>
      <c r="E130" s="4" t="s">
        <v>1556</v>
      </c>
      <c r="F130" s="4" t="s">
        <v>1557</v>
      </c>
      <c r="G130" s="4" t="s">
        <v>1558</v>
      </c>
      <c r="H130" s="4" t="s">
        <v>1559</v>
      </c>
      <c r="I130" s="4"/>
      <c r="J130" s="4"/>
      <c r="K130" s="4"/>
      <c r="L130" s="4"/>
      <c r="M130" s="4"/>
      <c r="N130" s="4"/>
      <c r="O130" s="4"/>
      <c r="P130" s="4"/>
      <c r="Q130" s="4"/>
      <c r="R130" s="3"/>
      <c r="S130" s="3" t="s">
        <v>1560</v>
      </c>
      <c r="T130" s="3" t="s">
        <v>1561</v>
      </c>
      <c r="U130" s="3" t="s">
        <v>1562</v>
      </c>
      <c r="V130" s="3" t="s">
        <v>1563</v>
      </c>
      <c r="W130" s="5" t="str">
        <f>IF($D130="","",VLOOKUP($B130,メインシート!$B$13:$D$18,2,0))</f>
        <v>秋田</v>
      </c>
      <c r="X130" s="5"/>
    </row>
    <row r="131" spans="1:27" hidden="1" outlineLevel="1" x14ac:dyDescent="0.15">
      <c r="A131" s="9">
        <v>128</v>
      </c>
      <c r="B131" s="5">
        <f t="shared" si="2"/>
        <v>3</v>
      </c>
      <c r="C131" s="71">
        <f t="shared" si="3"/>
        <v>30128</v>
      </c>
      <c r="D131" s="72">
        <v>128</v>
      </c>
      <c r="E131" s="4" t="s">
        <v>1624</v>
      </c>
      <c r="F131" s="4" t="s">
        <v>1645</v>
      </c>
      <c r="G131" s="4" t="s">
        <v>1663</v>
      </c>
      <c r="H131" s="4" t="s">
        <v>1684</v>
      </c>
      <c r="I131" s="4"/>
      <c r="J131" s="4"/>
      <c r="K131" s="4"/>
      <c r="L131" s="4"/>
      <c r="M131" s="4"/>
      <c r="N131" s="4"/>
      <c r="O131" s="4"/>
      <c r="P131" s="4"/>
      <c r="Q131" s="4"/>
      <c r="R131" s="3"/>
      <c r="S131" s="3" t="s">
        <v>1746</v>
      </c>
      <c r="T131" s="3" t="s">
        <v>1747</v>
      </c>
      <c r="U131" s="3" t="s">
        <v>1744</v>
      </c>
      <c r="V131" s="3" t="s">
        <v>1745</v>
      </c>
      <c r="W131" s="5" t="str">
        <f>IF($D131="","",VLOOKUP($B131,メインシート!$B$13:$D$18,2,0))</f>
        <v>秋田</v>
      </c>
      <c r="X131" s="5"/>
      <c r="Z131" s="1" t="s">
        <v>1541</v>
      </c>
      <c r="AA131" s="1" t="s">
        <v>1542</v>
      </c>
    </row>
    <row r="132" spans="1:27" hidden="1" outlineLevel="1" x14ac:dyDescent="0.15">
      <c r="A132" s="9">
        <v>129</v>
      </c>
      <c r="B132" s="5">
        <f t="shared" si="2"/>
        <v>3</v>
      </c>
      <c r="C132" s="71">
        <f t="shared" si="3"/>
        <v>30129</v>
      </c>
      <c r="D132" s="72">
        <v>129</v>
      </c>
      <c r="E132" s="4" t="s">
        <v>1613</v>
      </c>
      <c r="F132" s="4" t="s">
        <v>1634</v>
      </c>
      <c r="G132" s="4" t="s">
        <v>1653</v>
      </c>
      <c r="H132" s="4" t="s">
        <v>1673</v>
      </c>
      <c r="I132" s="4"/>
      <c r="J132" s="4"/>
      <c r="K132" s="4"/>
      <c r="L132" s="4"/>
      <c r="M132" s="4"/>
      <c r="N132" s="4"/>
      <c r="O132" s="4"/>
      <c r="P132" s="4"/>
      <c r="Q132" s="4"/>
      <c r="R132" s="3"/>
      <c r="S132" s="3"/>
      <c r="T132" s="3"/>
      <c r="U132" s="3"/>
      <c r="V132" s="3"/>
      <c r="W132" s="5" t="str">
        <f>IF($D132="","",VLOOKUP($B132,メインシート!$B$13:$D$18,2,0))</f>
        <v>秋田</v>
      </c>
      <c r="X132" s="5"/>
      <c r="Z132" s="1" t="s">
        <v>1529</v>
      </c>
      <c r="AA132" s="1" t="s">
        <v>1530</v>
      </c>
    </row>
    <row r="133" spans="1:27" hidden="1" outlineLevel="1" x14ac:dyDescent="0.15">
      <c r="A133" s="9">
        <v>130</v>
      </c>
      <c r="B133" s="5">
        <f t="shared" si="2"/>
        <v>3</v>
      </c>
      <c r="C133" s="71">
        <f t="shared" si="3"/>
        <v>30130</v>
      </c>
      <c r="D133" s="72">
        <v>130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3"/>
      <c r="S133" s="3"/>
      <c r="T133" s="3"/>
      <c r="U133" s="3"/>
      <c r="V133" s="3"/>
      <c r="W133" s="5" t="str">
        <f>IF($D133="","",VLOOKUP($B133,メインシート!$B$13:$D$18,2,0))</f>
        <v>秋田</v>
      </c>
      <c r="X133" s="5"/>
    </row>
    <row r="134" spans="1:27" hidden="1" outlineLevel="1" x14ac:dyDescent="0.15">
      <c r="A134" s="9">
        <v>131</v>
      </c>
      <c r="B134" s="5">
        <f t="shared" si="2"/>
        <v>3</v>
      </c>
      <c r="C134" s="71">
        <f t="shared" si="3"/>
        <v>30131</v>
      </c>
      <c r="D134" s="72">
        <v>131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3"/>
      <c r="S134" s="3"/>
      <c r="T134" s="3"/>
      <c r="U134" s="3"/>
      <c r="V134" s="3"/>
      <c r="W134" s="5" t="str">
        <f>IF($D134="","",VLOOKUP($B134,メインシート!$B$13:$D$18,2,0))</f>
        <v>秋田</v>
      </c>
      <c r="X134" s="5"/>
    </row>
    <row r="135" spans="1:27" hidden="1" outlineLevel="1" x14ac:dyDescent="0.15">
      <c r="A135" s="9">
        <v>132</v>
      </c>
      <c r="B135" s="5">
        <f t="shared" ref="B135:B153" si="4">B134</f>
        <v>3</v>
      </c>
      <c r="C135" s="71">
        <f t="shared" ref="C135:C253" si="5">IF(D135="","",VALUE(CONCATENATE(B135,IF(LEN(B135)=1,0,""),D135)))</f>
        <v>30132</v>
      </c>
      <c r="D135" s="72">
        <v>132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3"/>
      <c r="S135" s="3"/>
      <c r="T135" s="3"/>
      <c r="U135" s="3"/>
      <c r="V135" s="3"/>
      <c r="W135" s="5" t="str">
        <f>IF($D135="","",VLOOKUP($B135,メインシート!$B$13:$D$18,2,0))</f>
        <v>秋田</v>
      </c>
      <c r="X135" s="5"/>
    </row>
    <row r="136" spans="1:27" hidden="1" outlineLevel="1" x14ac:dyDescent="0.15">
      <c r="A136" s="9">
        <v>133</v>
      </c>
      <c r="B136" s="5">
        <f t="shared" si="4"/>
        <v>3</v>
      </c>
      <c r="C136" s="71">
        <f t="shared" si="5"/>
        <v>30133</v>
      </c>
      <c r="D136" s="72">
        <v>133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3"/>
      <c r="S136" s="3"/>
      <c r="T136" s="3"/>
      <c r="U136" s="3"/>
      <c r="V136" s="3"/>
      <c r="W136" s="5" t="str">
        <f>IF($D136="","",VLOOKUP($B136,メインシート!$B$13:$D$18,2,0))</f>
        <v>秋田</v>
      </c>
      <c r="X136" s="5"/>
    </row>
    <row r="137" spans="1:27" hidden="1" outlineLevel="1" x14ac:dyDescent="0.15">
      <c r="A137" s="9">
        <v>134</v>
      </c>
      <c r="B137" s="5">
        <f t="shared" si="4"/>
        <v>3</v>
      </c>
      <c r="C137" s="71">
        <f t="shared" si="5"/>
        <v>30134</v>
      </c>
      <c r="D137" s="72">
        <v>134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3"/>
      <c r="S137" s="3"/>
      <c r="T137" s="3"/>
      <c r="U137" s="3"/>
      <c r="V137" s="3"/>
      <c r="W137" s="5" t="str">
        <f>IF($D137="","",VLOOKUP($B137,メインシート!$B$13:$D$18,2,0))</f>
        <v>秋田</v>
      </c>
      <c r="X137" s="5"/>
    </row>
    <row r="138" spans="1:27" hidden="1" outlineLevel="1" x14ac:dyDescent="0.15">
      <c r="A138" s="9">
        <v>135</v>
      </c>
      <c r="B138" s="5">
        <f t="shared" si="4"/>
        <v>3</v>
      </c>
      <c r="C138" s="71">
        <f t="shared" si="5"/>
        <v>30135</v>
      </c>
      <c r="D138" s="72">
        <v>135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3"/>
      <c r="S138" s="3"/>
      <c r="T138" s="3"/>
      <c r="U138" s="3"/>
      <c r="V138" s="3"/>
      <c r="W138" s="5" t="str">
        <f>IF($D138="","",VLOOKUP($B138,メインシート!$B$13:$D$18,2,0))</f>
        <v>秋田</v>
      </c>
      <c r="X138" s="5"/>
    </row>
    <row r="139" spans="1:27" hidden="1" outlineLevel="1" x14ac:dyDescent="0.15">
      <c r="A139" s="9">
        <v>136</v>
      </c>
      <c r="B139" s="5">
        <f t="shared" si="4"/>
        <v>3</v>
      </c>
      <c r="C139" s="71">
        <f t="shared" si="5"/>
        <v>30136</v>
      </c>
      <c r="D139" s="72">
        <v>136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3"/>
      <c r="S139" s="3"/>
      <c r="T139" s="3"/>
      <c r="U139" s="3"/>
      <c r="V139" s="3"/>
      <c r="W139" s="5" t="str">
        <f>IF($D139="","",VLOOKUP($B139,メインシート!$B$13:$D$18,2,0))</f>
        <v>秋田</v>
      </c>
      <c r="X139" s="5"/>
    </row>
    <row r="140" spans="1:27" hidden="1" outlineLevel="1" x14ac:dyDescent="0.15">
      <c r="A140" s="9">
        <v>137</v>
      </c>
      <c r="B140" s="5">
        <f t="shared" si="4"/>
        <v>3</v>
      </c>
      <c r="C140" s="71">
        <f t="shared" si="5"/>
        <v>30137</v>
      </c>
      <c r="D140" s="72">
        <v>137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3"/>
      <c r="S140" s="3"/>
      <c r="T140" s="3"/>
      <c r="U140" s="3"/>
      <c r="V140" s="3"/>
      <c r="W140" s="5" t="str">
        <f>IF($D140="","",VLOOKUP($B140,メインシート!$B$13:$D$18,2,0))</f>
        <v>秋田</v>
      </c>
      <c r="X140" s="5"/>
    </row>
    <row r="141" spans="1:27" hidden="1" outlineLevel="1" x14ac:dyDescent="0.15">
      <c r="A141" s="9">
        <v>138</v>
      </c>
      <c r="B141" s="5">
        <f t="shared" si="4"/>
        <v>3</v>
      </c>
      <c r="C141" s="71">
        <f t="shared" si="5"/>
        <v>30138</v>
      </c>
      <c r="D141" s="72">
        <v>138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3"/>
      <c r="S141" s="3"/>
      <c r="T141" s="3"/>
      <c r="U141" s="3"/>
      <c r="V141" s="3"/>
      <c r="W141" s="5" t="str">
        <f>IF($D141="","",VLOOKUP($B141,メインシート!$B$13:$D$18,2,0))</f>
        <v>秋田</v>
      </c>
      <c r="X141" s="5"/>
    </row>
    <row r="142" spans="1:27" hidden="1" outlineLevel="1" x14ac:dyDescent="0.15">
      <c r="A142" s="9">
        <v>139</v>
      </c>
      <c r="B142" s="5">
        <f t="shared" si="4"/>
        <v>3</v>
      </c>
      <c r="C142" s="71">
        <f t="shared" si="5"/>
        <v>30139</v>
      </c>
      <c r="D142" s="72">
        <v>139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3"/>
      <c r="S142" s="3"/>
      <c r="T142" s="3"/>
      <c r="U142" s="3"/>
      <c r="V142" s="3"/>
      <c r="W142" s="5" t="str">
        <f>IF($D142="","",VLOOKUP($B142,メインシート!$B$13:$D$18,2,0))</f>
        <v>秋田</v>
      </c>
      <c r="X142" s="5"/>
    </row>
    <row r="143" spans="1:27" hidden="1" outlineLevel="1" x14ac:dyDescent="0.15">
      <c r="A143" s="9">
        <v>140</v>
      </c>
      <c r="B143" s="5">
        <f t="shared" si="4"/>
        <v>3</v>
      </c>
      <c r="C143" s="71">
        <f t="shared" si="5"/>
        <v>30140</v>
      </c>
      <c r="D143" s="72">
        <v>140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3"/>
      <c r="S143" s="3"/>
      <c r="T143" s="3"/>
      <c r="U143" s="3"/>
      <c r="V143" s="3"/>
      <c r="W143" s="5" t="str">
        <f>IF($D143="","",VLOOKUP($B143,メインシート!$B$13:$D$18,2,0))</f>
        <v>秋田</v>
      </c>
      <c r="X143" s="5"/>
    </row>
    <row r="144" spans="1:27" hidden="1" outlineLevel="1" x14ac:dyDescent="0.15">
      <c r="A144" s="9">
        <v>141</v>
      </c>
      <c r="B144" s="5">
        <f t="shared" si="4"/>
        <v>3</v>
      </c>
      <c r="C144" s="71">
        <f t="shared" si="5"/>
        <v>30141</v>
      </c>
      <c r="D144" s="72">
        <v>141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3"/>
      <c r="S144" s="3"/>
      <c r="T144" s="3"/>
      <c r="U144" s="3"/>
      <c r="V144" s="3"/>
      <c r="W144" s="5" t="str">
        <f>IF($D144="","",VLOOKUP($B144,メインシート!$B$13:$D$18,2,0))</f>
        <v>秋田</v>
      </c>
      <c r="X144" s="5"/>
    </row>
    <row r="145" spans="1:27" hidden="1" outlineLevel="1" x14ac:dyDescent="0.15">
      <c r="A145" s="9">
        <v>142</v>
      </c>
      <c r="B145" s="5">
        <f t="shared" si="4"/>
        <v>3</v>
      </c>
      <c r="C145" s="71">
        <f t="shared" si="5"/>
        <v>30142</v>
      </c>
      <c r="D145" s="72">
        <v>142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3"/>
      <c r="S145" s="3"/>
      <c r="T145" s="3"/>
      <c r="U145" s="3"/>
      <c r="V145" s="3"/>
      <c r="W145" s="5" t="str">
        <f>IF($D145="","",VLOOKUP($B145,メインシート!$B$13:$D$18,2,0))</f>
        <v>秋田</v>
      </c>
      <c r="X145" s="5"/>
    </row>
    <row r="146" spans="1:27" hidden="1" outlineLevel="1" x14ac:dyDescent="0.15">
      <c r="A146" s="9">
        <v>143</v>
      </c>
      <c r="B146" s="5">
        <f t="shared" si="4"/>
        <v>3</v>
      </c>
      <c r="C146" s="71">
        <f t="shared" si="5"/>
        <v>30143</v>
      </c>
      <c r="D146" s="72">
        <v>143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3"/>
      <c r="S146" s="3"/>
      <c r="T146" s="3"/>
      <c r="U146" s="3"/>
      <c r="V146" s="3"/>
      <c r="W146" s="5" t="str">
        <f>IF($D146="","",VLOOKUP($B146,メインシート!$B$13:$D$18,2,0))</f>
        <v>秋田</v>
      </c>
      <c r="X146" s="5"/>
    </row>
    <row r="147" spans="1:27" hidden="1" outlineLevel="1" x14ac:dyDescent="0.15">
      <c r="A147" s="9">
        <v>144</v>
      </c>
      <c r="B147" s="5">
        <f t="shared" si="4"/>
        <v>3</v>
      </c>
      <c r="C147" s="71">
        <f t="shared" si="5"/>
        <v>30144</v>
      </c>
      <c r="D147" s="72">
        <v>144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3"/>
      <c r="S147" s="3"/>
      <c r="T147" s="3"/>
      <c r="U147" s="3"/>
      <c r="V147" s="3"/>
      <c r="W147" s="5" t="str">
        <f>IF($D147="","",VLOOKUP($B147,メインシート!$B$13:$D$18,2,0))</f>
        <v>秋田</v>
      </c>
      <c r="X147" s="5"/>
    </row>
    <row r="148" spans="1:27" hidden="1" outlineLevel="1" x14ac:dyDescent="0.15">
      <c r="A148" s="9">
        <v>145</v>
      </c>
      <c r="B148" s="5">
        <f t="shared" si="4"/>
        <v>3</v>
      </c>
      <c r="C148" s="71">
        <f t="shared" si="5"/>
        <v>30145</v>
      </c>
      <c r="D148" s="72">
        <v>145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3"/>
      <c r="S148" s="3"/>
      <c r="T148" s="3"/>
      <c r="U148" s="3"/>
      <c r="V148" s="3"/>
      <c r="W148" s="5" t="str">
        <f>IF($D148="","",VLOOKUP($B148,メインシート!$B$13:$D$18,2,0))</f>
        <v>秋田</v>
      </c>
      <c r="X148" s="5"/>
    </row>
    <row r="149" spans="1:27" hidden="1" outlineLevel="1" x14ac:dyDescent="0.15">
      <c r="A149" s="9">
        <v>146</v>
      </c>
      <c r="B149" s="5">
        <f t="shared" si="4"/>
        <v>3</v>
      </c>
      <c r="C149" s="71">
        <f t="shared" si="5"/>
        <v>30146</v>
      </c>
      <c r="D149" s="72">
        <v>146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3"/>
      <c r="S149" s="3"/>
      <c r="T149" s="3"/>
      <c r="U149" s="3"/>
      <c r="V149" s="3"/>
      <c r="W149" s="5" t="str">
        <f>IF($D149="","",VLOOKUP($B149,メインシート!$B$13:$D$18,2,0))</f>
        <v>秋田</v>
      </c>
      <c r="X149" s="5"/>
    </row>
    <row r="150" spans="1:27" hidden="1" outlineLevel="1" x14ac:dyDescent="0.15">
      <c r="A150" s="9">
        <v>147</v>
      </c>
      <c r="B150" s="5">
        <f t="shared" si="4"/>
        <v>3</v>
      </c>
      <c r="C150" s="71">
        <f t="shared" si="5"/>
        <v>30147</v>
      </c>
      <c r="D150" s="72">
        <v>147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3"/>
      <c r="S150" s="3"/>
      <c r="T150" s="3"/>
      <c r="U150" s="3"/>
      <c r="V150" s="3"/>
      <c r="W150" s="5" t="str">
        <f>IF($D150="","",VLOOKUP($B150,メインシート!$B$13:$D$18,2,0))</f>
        <v>秋田</v>
      </c>
      <c r="X150" s="5"/>
    </row>
    <row r="151" spans="1:27" hidden="1" outlineLevel="1" x14ac:dyDescent="0.15">
      <c r="A151" s="9">
        <v>148</v>
      </c>
      <c r="B151" s="5">
        <f t="shared" si="4"/>
        <v>3</v>
      </c>
      <c r="C151" s="71">
        <f t="shared" si="5"/>
        <v>30148</v>
      </c>
      <c r="D151" s="72">
        <v>148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3"/>
      <c r="S151" s="3"/>
      <c r="T151" s="3"/>
      <c r="U151" s="3"/>
      <c r="V151" s="3"/>
      <c r="W151" s="5" t="str">
        <f>IF($D151="","",VLOOKUP($B151,メインシート!$B$13:$D$18,2,0))</f>
        <v>秋田</v>
      </c>
      <c r="X151" s="5"/>
    </row>
    <row r="152" spans="1:27" hidden="1" outlineLevel="1" x14ac:dyDescent="0.15">
      <c r="A152" s="9">
        <v>149</v>
      </c>
      <c r="B152" s="5">
        <f t="shared" si="4"/>
        <v>3</v>
      </c>
      <c r="C152" s="71">
        <f t="shared" si="5"/>
        <v>30149</v>
      </c>
      <c r="D152" s="72">
        <v>149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3"/>
      <c r="S152" s="3"/>
      <c r="T152" s="3"/>
      <c r="U152" s="3"/>
      <c r="V152" s="3"/>
      <c r="W152" s="5" t="str">
        <f>IF($D152="","",VLOOKUP($B152,メインシート!$B$13:$D$18,2,0))</f>
        <v>秋田</v>
      </c>
      <c r="X152" s="5"/>
    </row>
    <row r="153" spans="1:27" hidden="1" outlineLevel="1" x14ac:dyDescent="0.15">
      <c r="A153" s="9">
        <v>150</v>
      </c>
      <c r="B153" s="5">
        <f t="shared" si="4"/>
        <v>3</v>
      </c>
      <c r="C153" s="71">
        <f t="shared" si="5"/>
        <v>30150</v>
      </c>
      <c r="D153" s="72">
        <v>150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3"/>
      <c r="S153" s="3"/>
      <c r="T153" s="3"/>
      <c r="U153" s="3"/>
      <c r="V153" s="3"/>
      <c r="W153" s="5" t="str">
        <f>IF($D153="","",VLOOKUP($B153,メインシート!$B$13:$D$18,2,0))</f>
        <v>秋田</v>
      </c>
      <c r="X153" s="5"/>
    </row>
    <row r="154" spans="1:27" collapsed="1" x14ac:dyDescent="0.15">
      <c r="A154" s="9">
        <v>151</v>
      </c>
      <c r="B154" s="71">
        <v>4</v>
      </c>
      <c r="C154" s="71">
        <f t="shared" si="5"/>
        <v>40101</v>
      </c>
      <c r="D154" s="72">
        <v>101</v>
      </c>
      <c r="E154" s="4" t="s">
        <v>1823</v>
      </c>
      <c r="F154" s="4" t="s">
        <v>1824</v>
      </c>
      <c r="G154" s="4" t="s">
        <v>1825</v>
      </c>
      <c r="H154" s="4" t="s">
        <v>1826</v>
      </c>
      <c r="I154" s="4"/>
      <c r="J154" s="4"/>
      <c r="K154" s="4"/>
      <c r="L154" s="4"/>
      <c r="M154" s="4"/>
      <c r="N154" s="4"/>
      <c r="O154" s="4"/>
      <c r="P154" s="4"/>
      <c r="Q154" s="4"/>
      <c r="R154" s="3"/>
      <c r="S154" s="3" t="s">
        <v>1827</v>
      </c>
      <c r="T154" s="3" t="s">
        <v>1828</v>
      </c>
      <c r="U154" s="3" t="s">
        <v>1829</v>
      </c>
      <c r="V154" s="3" t="s">
        <v>1830</v>
      </c>
      <c r="W154" s="5" t="str">
        <f>IF($D154="","",VLOOKUP($B154,メインシート!$B$13:$D$18,2,0))</f>
        <v>山形</v>
      </c>
      <c r="X154" s="5"/>
      <c r="Z154" s="1" t="s">
        <v>1790</v>
      </c>
      <c r="AA154" s="1" t="s">
        <v>1791</v>
      </c>
    </row>
    <row r="155" spans="1:27" x14ac:dyDescent="0.15">
      <c r="A155" s="9">
        <v>152</v>
      </c>
      <c r="B155" s="5">
        <f t="shared" ref="B155:B203" si="6">B154</f>
        <v>4</v>
      </c>
      <c r="C155" s="71">
        <f t="shared" si="5"/>
        <v>40102</v>
      </c>
      <c r="D155" s="72">
        <v>102</v>
      </c>
      <c r="E155" s="4" t="s">
        <v>1816</v>
      </c>
      <c r="F155" s="4" t="s">
        <v>1817</v>
      </c>
      <c r="G155" s="4" t="s">
        <v>1818</v>
      </c>
      <c r="H155" s="4" t="s">
        <v>1819</v>
      </c>
      <c r="I155" s="4"/>
      <c r="J155" s="4"/>
      <c r="K155" s="4"/>
      <c r="L155" s="4"/>
      <c r="M155" s="4"/>
      <c r="N155" s="4"/>
      <c r="O155" s="4"/>
      <c r="P155" s="4"/>
      <c r="Q155" s="4"/>
      <c r="R155" s="3"/>
      <c r="S155" s="3" t="s">
        <v>1820</v>
      </c>
      <c r="T155" s="3" t="s">
        <v>1821</v>
      </c>
      <c r="U155" s="3" t="s">
        <v>1822</v>
      </c>
      <c r="V155" s="3" t="s">
        <v>1973</v>
      </c>
      <c r="W155" s="5" t="str">
        <f>IF($D155="","",VLOOKUP($B155,メインシート!$B$13:$D$18,2,0))</f>
        <v>山形</v>
      </c>
      <c r="X155" s="5"/>
      <c r="Z155" s="1" t="s">
        <v>1806</v>
      </c>
      <c r="AA155" s="1" t="s">
        <v>1807</v>
      </c>
    </row>
    <row r="156" spans="1:27" x14ac:dyDescent="0.15">
      <c r="A156" s="9">
        <v>153</v>
      </c>
      <c r="B156" s="5">
        <f t="shared" si="6"/>
        <v>4</v>
      </c>
      <c r="C156" s="71">
        <f t="shared" si="5"/>
        <v>40103</v>
      </c>
      <c r="D156" s="72">
        <v>103</v>
      </c>
      <c r="E156" s="4" t="s">
        <v>2017</v>
      </c>
      <c r="F156" s="4" t="s">
        <v>2035</v>
      </c>
      <c r="G156" s="4" t="s">
        <v>2053</v>
      </c>
      <c r="H156" s="4" t="s">
        <v>2071</v>
      </c>
      <c r="I156" s="4"/>
      <c r="J156" s="4"/>
      <c r="K156" s="4"/>
      <c r="L156" s="4"/>
      <c r="M156" s="4"/>
      <c r="N156" s="4"/>
      <c r="O156" s="4"/>
      <c r="P156" s="4"/>
      <c r="Q156" s="4"/>
      <c r="R156" s="3"/>
      <c r="S156" s="3" t="s">
        <v>2278</v>
      </c>
      <c r="T156" s="3" t="s">
        <v>2279</v>
      </c>
      <c r="U156" s="3" t="s">
        <v>2276</v>
      </c>
      <c r="V156" s="3" t="s">
        <v>2277</v>
      </c>
      <c r="W156" s="5" t="str">
        <f>IF($D156="","",VLOOKUP($B156,メインシート!$B$13:$D$18,2,0))</f>
        <v>山形</v>
      </c>
      <c r="X156" s="5"/>
      <c r="Z156" s="1" t="s">
        <v>1991</v>
      </c>
      <c r="AA156" s="1" t="s">
        <v>1992</v>
      </c>
    </row>
    <row r="157" spans="1:27" x14ac:dyDescent="0.15">
      <c r="A157" s="9">
        <v>154</v>
      </c>
      <c r="B157" s="5">
        <f t="shared" si="6"/>
        <v>4</v>
      </c>
      <c r="C157" s="71">
        <f t="shared" si="5"/>
        <v>40104</v>
      </c>
      <c r="D157" s="72">
        <v>104</v>
      </c>
      <c r="E157" s="4" t="s">
        <v>2016</v>
      </c>
      <c r="F157" s="4" t="s">
        <v>2034</v>
      </c>
      <c r="G157" s="4" t="s">
        <v>2052</v>
      </c>
      <c r="H157" s="4" t="s">
        <v>2070</v>
      </c>
      <c r="I157" s="4"/>
      <c r="J157" s="4"/>
      <c r="K157" s="4"/>
      <c r="L157" s="4"/>
      <c r="M157" s="4"/>
      <c r="N157" s="4"/>
      <c r="O157" s="4"/>
      <c r="P157" s="4"/>
      <c r="Q157" s="4"/>
      <c r="R157" s="3"/>
      <c r="S157" s="3" t="s">
        <v>2274</v>
      </c>
      <c r="T157" s="3" t="s">
        <v>2275</v>
      </c>
      <c r="U157" s="3" t="s">
        <v>2273</v>
      </c>
      <c r="V157" s="3" t="s">
        <v>2272</v>
      </c>
      <c r="W157" s="5" t="str">
        <f>IF($D157="","",VLOOKUP($B157,メインシート!$B$13:$D$18,2,0))</f>
        <v>山形</v>
      </c>
      <c r="X157" s="5"/>
      <c r="Z157" s="1" t="s">
        <v>1802</v>
      </c>
      <c r="AA157" s="1" t="s">
        <v>1803</v>
      </c>
    </row>
    <row r="158" spans="1:27" x14ac:dyDescent="0.15">
      <c r="A158" s="9">
        <v>155</v>
      </c>
      <c r="B158" s="5">
        <f t="shared" si="6"/>
        <v>4</v>
      </c>
      <c r="C158" s="71">
        <f t="shared" si="5"/>
        <v>40105</v>
      </c>
      <c r="D158" s="72">
        <v>105</v>
      </c>
      <c r="E158" s="4" t="s">
        <v>2018</v>
      </c>
      <c r="F158" s="4" t="s">
        <v>2036</v>
      </c>
      <c r="G158" s="4" t="s">
        <v>2054</v>
      </c>
      <c r="H158" s="4" t="s">
        <v>2072</v>
      </c>
      <c r="I158" s="4"/>
      <c r="J158" s="4"/>
      <c r="K158" s="4"/>
      <c r="L158" s="4"/>
      <c r="M158" s="4"/>
      <c r="N158" s="4"/>
      <c r="O158" s="4"/>
      <c r="P158" s="4"/>
      <c r="Q158" s="4"/>
      <c r="R158" s="3"/>
      <c r="S158" s="3" t="s">
        <v>2282</v>
      </c>
      <c r="T158" s="3" t="s">
        <v>2283</v>
      </c>
      <c r="U158" s="3" t="s">
        <v>2280</v>
      </c>
      <c r="V158" s="3" t="s">
        <v>2281</v>
      </c>
      <c r="W158" s="5" t="str">
        <f>IF($D158="","",VLOOKUP($B158,メインシート!$B$13:$D$18,2,0))</f>
        <v>山形</v>
      </c>
      <c r="X158" s="5"/>
      <c r="Z158" s="1" t="s">
        <v>1994</v>
      </c>
      <c r="AA158" s="1" t="s">
        <v>1995</v>
      </c>
    </row>
    <row r="159" spans="1:27" x14ac:dyDescent="0.15">
      <c r="A159" s="9">
        <v>156</v>
      </c>
      <c r="B159" s="5">
        <f t="shared" si="6"/>
        <v>4</v>
      </c>
      <c r="C159" s="71">
        <f t="shared" si="5"/>
        <v>40106</v>
      </c>
      <c r="D159" s="72">
        <v>106</v>
      </c>
      <c r="E159" s="4" t="s">
        <v>1929</v>
      </c>
      <c r="F159" s="4" t="s">
        <v>1930</v>
      </c>
      <c r="G159" s="4" t="s">
        <v>1931</v>
      </c>
      <c r="H159" s="4" t="s">
        <v>1932</v>
      </c>
      <c r="I159" s="4"/>
      <c r="J159" s="4"/>
      <c r="K159" s="4"/>
      <c r="L159" s="4"/>
      <c r="M159" s="4"/>
      <c r="N159" s="4"/>
      <c r="O159" s="4"/>
      <c r="P159" s="4"/>
      <c r="Q159" s="4"/>
      <c r="R159" s="3"/>
      <c r="S159" s="3" t="s">
        <v>1933</v>
      </c>
      <c r="T159" s="3" t="s">
        <v>1934</v>
      </c>
      <c r="U159" s="3" t="s">
        <v>1935</v>
      </c>
      <c r="V159" s="3" t="s">
        <v>1936</v>
      </c>
      <c r="W159" s="5" t="str">
        <f>IF($D159="","",VLOOKUP($B159,メインシート!$B$13:$D$18,2,0))</f>
        <v>山形</v>
      </c>
      <c r="X159" s="5"/>
    </row>
    <row r="160" spans="1:27" x14ac:dyDescent="0.15">
      <c r="A160" s="9">
        <v>157</v>
      </c>
      <c r="B160" s="5">
        <f t="shared" si="6"/>
        <v>4</v>
      </c>
      <c r="C160" s="71">
        <f t="shared" si="5"/>
        <v>40107</v>
      </c>
      <c r="D160" s="72">
        <v>107</v>
      </c>
      <c r="E160" s="4" t="s">
        <v>2002</v>
      </c>
      <c r="F160" s="4" t="s">
        <v>2020</v>
      </c>
      <c r="G160" s="4" t="s">
        <v>2038</v>
      </c>
      <c r="H160" s="4" t="s">
        <v>2056</v>
      </c>
      <c r="I160" s="4"/>
      <c r="J160" s="4"/>
      <c r="K160" s="4"/>
      <c r="L160" s="4"/>
      <c r="M160" s="4"/>
      <c r="N160" s="4"/>
      <c r="O160" s="4"/>
      <c r="P160" s="4"/>
      <c r="Q160" s="4"/>
      <c r="R160" s="3"/>
      <c r="S160" s="3" t="s">
        <v>2226</v>
      </c>
      <c r="T160" s="3" t="s">
        <v>2227</v>
      </c>
      <c r="U160" s="3" t="s">
        <v>2224</v>
      </c>
      <c r="V160" s="3" t="s">
        <v>2225</v>
      </c>
      <c r="W160" s="5" t="str">
        <f>IF($D160="","",VLOOKUP($B160,メインシート!$B$13:$D$18,2,0))</f>
        <v>山形</v>
      </c>
      <c r="X160" s="5"/>
      <c r="Z160" s="1" t="s">
        <v>1990</v>
      </c>
      <c r="AA160" s="1" t="s">
        <v>1999</v>
      </c>
    </row>
    <row r="161" spans="1:27" x14ac:dyDescent="0.15">
      <c r="A161" s="9">
        <v>158</v>
      </c>
      <c r="B161" s="5">
        <f t="shared" si="6"/>
        <v>4</v>
      </c>
      <c r="C161" s="71">
        <f t="shared" si="5"/>
        <v>40108</v>
      </c>
      <c r="D161" s="72">
        <v>108</v>
      </c>
      <c r="E161" s="4" t="s">
        <v>1847</v>
      </c>
      <c r="F161" s="4" t="s">
        <v>1848</v>
      </c>
      <c r="G161" s="4" t="s">
        <v>1849</v>
      </c>
      <c r="H161" s="4" t="s">
        <v>1850</v>
      </c>
      <c r="I161" s="4"/>
      <c r="J161" s="4"/>
      <c r="K161" s="4"/>
      <c r="L161" s="4"/>
      <c r="M161" s="4"/>
      <c r="N161" s="4"/>
      <c r="O161" s="4"/>
      <c r="P161" s="4"/>
      <c r="Q161" s="4"/>
      <c r="R161" s="3"/>
      <c r="S161" s="3" t="s">
        <v>1851</v>
      </c>
      <c r="T161" s="3" t="s">
        <v>1852</v>
      </c>
      <c r="U161" s="3" t="s">
        <v>1853</v>
      </c>
      <c r="V161" s="3" t="s">
        <v>1854</v>
      </c>
      <c r="W161" s="5" t="str">
        <f>IF($D161="","",VLOOKUP($B161,メインシート!$B$13:$D$18,2,0))</f>
        <v>山形</v>
      </c>
      <c r="X161" s="5"/>
    </row>
    <row r="162" spans="1:27" x14ac:dyDescent="0.15">
      <c r="A162" s="9">
        <v>159</v>
      </c>
      <c r="B162" s="5">
        <f t="shared" si="6"/>
        <v>4</v>
      </c>
      <c r="C162" s="71">
        <f t="shared" si="5"/>
        <v>40109</v>
      </c>
      <c r="D162" s="72">
        <v>109</v>
      </c>
      <c r="E162" s="4" t="s">
        <v>1863</v>
      </c>
      <c r="F162" s="4" t="s">
        <v>1864</v>
      </c>
      <c r="G162" s="4" t="s">
        <v>1865</v>
      </c>
      <c r="H162" s="4" t="s">
        <v>1866</v>
      </c>
      <c r="I162" s="4"/>
      <c r="J162" s="4"/>
      <c r="K162" s="4"/>
      <c r="L162" s="4"/>
      <c r="M162" s="4"/>
      <c r="N162" s="4"/>
      <c r="O162" s="4"/>
      <c r="P162" s="4"/>
      <c r="Q162" s="4"/>
      <c r="R162" s="3"/>
      <c r="S162" s="3" t="s">
        <v>1867</v>
      </c>
      <c r="T162" s="3" t="s">
        <v>1868</v>
      </c>
      <c r="U162" s="3" t="s">
        <v>1979</v>
      </c>
      <c r="V162" s="3" t="s">
        <v>1869</v>
      </c>
      <c r="W162" s="5" t="str">
        <f>IF($D162="","",VLOOKUP($B162,メインシート!$B$13:$D$18,2,0))</f>
        <v>山形</v>
      </c>
      <c r="X162" s="5"/>
      <c r="Z162" s="1" t="s">
        <v>1772</v>
      </c>
      <c r="AA162" s="1" t="s">
        <v>1773</v>
      </c>
    </row>
    <row r="163" spans="1:27" x14ac:dyDescent="0.15">
      <c r="A163" s="9">
        <v>160</v>
      </c>
      <c r="B163" s="5">
        <f t="shared" si="6"/>
        <v>4</v>
      </c>
      <c r="C163" s="71">
        <f t="shared" si="5"/>
        <v>40110</v>
      </c>
      <c r="D163" s="72">
        <v>110</v>
      </c>
      <c r="E163" s="4" t="s">
        <v>1839</v>
      </c>
      <c r="F163" s="4" t="s">
        <v>1840</v>
      </c>
      <c r="G163" s="4" t="s">
        <v>1841</v>
      </c>
      <c r="H163" s="4" t="s">
        <v>1842</v>
      </c>
      <c r="I163" s="4"/>
      <c r="J163" s="4"/>
      <c r="K163" s="4"/>
      <c r="L163" s="4"/>
      <c r="M163" s="4"/>
      <c r="N163" s="4"/>
      <c r="O163" s="4"/>
      <c r="P163" s="4"/>
      <c r="Q163" s="4"/>
      <c r="R163" s="3"/>
      <c r="S163" s="3" t="s">
        <v>1843</v>
      </c>
      <c r="T163" s="3" t="s">
        <v>1844</v>
      </c>
      <c r="U163" s="3" t="s">
        <v>1845</v>
      </c>
      <c r="V163" s="3" t="s">
        <v>1846</v>
      </c>
      <c r="W163" s="5" t="str">
        <f>IF($D163="","",VLOOKUP($B163,メインシート!$B$13:$D$18,2,0))</f>
        <v>山形</v>
      </c>
      <c r="X163" s="5"/>
      <c r="Z163" s="1" t="s">
        <v>1798</v>
      </c>
      <c r="AA163" s="1" t="s">
        <v>1799</v>
      </c>
    </row>
    <row r="164" spans="1:27" x14ac:dyDescent="0.15">
      <c r="A164" s="9">
        <v>161</v>
      </c>
      <c r="B164" s="5">
        <f t="shared" si="6"/>
        <v>4</v>
      </c>
      <c r="C164" s="71">
        <f t="shared" si="5"/>
        <v>40111</v>
      </c>
      <c r="D164" s="72">
        <v>111</v>
      </c>
      <c r="E164" s="4" t="s">
        <v>1831</v>
      </c>
      <c r="F164" s="4" t="s">
        <v>1832</v>
      </c>
      <c r="G164" s="4" t="s">
        <v>1833</v>
      </c>
      <c r="H164" s="4" t="s">
        <v>1834</v>
      </c>
      <c r="I164" s="4"/>
      <c r="J164" s="4"/>
      <c r="K164" s="4"/>
      <c r="L164" s="4"/>
      <c r="M164" s="4"/>
      <c r="N164" s="4"/>
      <c r="O164" s="4"/>
      <c r="P164" s="4"/>
      <c r="Q164" s="4"/>
      <c r="R164" s="3"/>
      <c r="S164" s="3" t="s">
        <v>1835</v>
      </c>
      <c r="T164" s="3" t="s">
        <v>1836</v>
      </c>
      <c r="U164" s="3" t="s">
        <v>1837</v>
      </c>
      <c r="V164" s="3" t="s">
        <v>1838</v>
      </c>
      <c r="W164" s="5" t="str">
        <f>IF($D164="","",VLOOKUP($B164,メインシート!$B$13:$D$18,2,0))</f>
        <v>山形</v>
      </c>
      <c r="X164" s="5"/>
    </row>
    <row r="165" spans="1:27" x14ac:dyDescent="0.15">
      <c r="A165" s="9">
        <v>162</v>
      </c>
      <c r="B165" s="5">
        <f t="shared" si="6"/>
        <v>4</v>
      </c>
      <c r="C165" s="71">
        <f t="shared" si="5"/>
        <v>40112</v>
      </c>
      <c r="D165" s="72">
        <v>112</v>
      </c>
      <c r="E165" s="4" t="s">
        <v>1855</v>
      </c>
      <c r="F165" s="4" t="s">
        <v>1856</v>
      </c>
      <c r="G165" s="4" t="s">
        <v>1857</v>
      </c>
      <c r="H165" s="4" t="s">
        <v>1858</v>
      </c>
      <c r="I165" s="4"/>
      <c r="J165" s="4"/>
      <c r="K165" s="4"/>
      <c r="L165" s="4"/>
      <c r="M165" s="4"/>
      <c r="N165" s="4"/>
      <c r="O165" s="4"/>
      <c r="P165" s="4"/>
      <c r="Q165" s="4"/>
      <c r="R165" s="3"/>
      <c r="S165" s="3" t="s">
        <v>1859</v>
      </c>
      <c r="T165" s="3" t="s">
        <v>1860</v>
      </c>
      <c r="U165" s="3" t="s">
        <v>1861</v>
      </c>
      <c r="V165" s="3" t="s">
        <v>1862</v>
      </c>
      <c r="W165" s="5" t="str">
        <f>IF($D165="","",VLOOKUP($B165,メインシート!$B$13:$D$18,2,0))</f>
        <v>山形</v>
      </c>
      <c r="X165" s="5"/>
      <c r="Z165" s="1" t="s">
        <v>1780</v>
      </c>
      <c r="AA165" s="1" t="s">
        <v>1781</v>
      </c>
    </row>
    <row r="166" spans="1:27" x14ac:dyDescent="0.15">
      <c r="A166" s="9">
        <v>163</v>
      </c>
      <c r="B166" s="5">
        <f t="shared" si="6"/>
        <v>4</v>
      </c>
      <c r="C166" s="71">
        <f t="shared" si="5"/>
        <v>40113</v>
      </c>
      <c r="D166" s="72">
        <v>113</v>
      </c>
      <c r="E166" s="4" t="s">
        <v>1878</v>
      </c>
      <c r="F166" s="4" t="s">
        <v>1879</v>
      </c>
      <c r="G166" s="4" t="s">
        <v>1880</v>
      </c>
      <c r="H166" s="4" t="s">
        <v>1881</v>
      </c>
      <c r="I166" s="4"/>
      <c r="J166" s="4"/>
      <c r="K166" s="4"/>
      <c r="L166" s="4"/>
      <c r="M166" s="4"/>
      <c r="N166" s="4"/>
      <c r="O166" s="4"/>
      <c r="P166" s="4"/>
      <c r="Q166" s="4"/>
      <c r="R166" s="3"/>
      <c r="S166" s="3" t="s">
        <v>1882</v>
      </c>
      <c r="T166" s="3" t="s">
        <v>1883</v>
      </c>
      <c r="U166" s="3" t="s">
        <v>1884</v>
      </c>
      <c r="V166" s="3" t="s">
        <v>1885</v>
      </c>
      <c r="W166" s="5" t="str">
        <f>IF($D166="","",VLOOKUP($B166,メインシート!$B$13:$D$18,2,0))</f>
        <v>山形</v>
      </c>
      <c r="X166" s="5"/>
    </row>
    <row r="167" spans="1:27" x14ac:dyDescent="0.15">
      <c r="A167" s="9">
        <v>164</v>
      </c>
      <c r="B167" s="5">
        <f t="shared" si="6"/>
        <v>4</v>
      </c>
      <c r="C167" s="71">
        <f t="shared" si="5"/>
        <v>40114</v>
      </c>
      <c r="D167" s="72">
        <v>114</v>
      </c>
      <c r="E167" s="4" t="s">
        <v>2019</v>
      </c>
      <c r="F167" s="4" t="s">
        <v>2037</v>
      </c>
      <c r="G167" s="4" t="s">
        <v>2055</v>
      </c>
      <c r="H167" s="4" t="s">
        <v>2073</v>
      </c>
      <c r="I167" s="4"/>
      <c r="J167" s="4"/>
      <c r="K167" s="4"/>
      <c r="L167" s="4"/>
      <c r="M167" s="4"/>
      <c r="N167" s="4"/>
      <c r="O167" s="4"/>
      <c r="P167" s="4"/>
      <c r="Q167" s="4"/>
      <c r="R167" s="3"/>
      <c r="S167" s="3" t="s">
        <v>2286</v>
      </c>
      <c r="T167" s="3" t="s">
        <v>2287</v>
      </c>
      <c r="U167" s="3" t="s">
        <v>2284</v>
      </c>
      <c r="V167" s="3" t="s">
        <v>2285</v>
      </c>
      <c r="W167" s="5" t="str">
        <f>IF($D167="","",VLOOKUP($B167,メインシート!$B$13:$D$18,2,0))</f>
        <v>山形</v>
      </c>
      <c r="X167" s="5"/>
      <c r="Z167" s="1" t="s">
        <v>1784</v>
      </c>
      <c r="AA167" s="1" t="s">
        <v>1785</v>
      </c>
    </row>
    <row r="168" spans="1:27" x14ac:dyDescent="0.15">
      <c r="A168" s="9">
        <v>165</v>
      </c>
      <c r="B168" s="5">
        <f t="shared" si="6"/>
        <v>4</v>
      </c>
      <c r="C168" s="71">
        <f t="shared" si="5"/>
        <v>40115</v>
      </c>
      <c r="D168" s="72">
        <v>115</v>
      </c>
      <c r="E168" s="4" t="s">
        <v>1910</v>
      </c>
      <c r="F168" s="4" t="s">
        <v>1911</v>
      </c>
      <c r="G168" s="4" t="s">
        <v>1912</v>
      </c>
      <c r="H168" s="4" t="s">
        <v>1913</v>
      </c>
      <c r="I168" s="4"/>
      <c r="J168" s="4"/>
      <c r="K168" s="4"/>
      <c r="L168" s="4"/>
      <c r="M168" s="4"/>
      <c r="N168" s="4"/>
      <c r="O168" s="4"/>
      <c r="P168" s="4"/>
      <c r="Q168" s="4"/>
      <c r="R168" s="3"/>
      <c r="S168" s="3" t="s">
        <v>1914</v>
      </c>
      <c r="T168" s="3" t="s">
        <v>1915</v>
      </c>
      <c r="U168" s="3" t="s">
        <v>1916</v>
      </c>
      <c r="V168" s="3" t="s">
        <v>1917</v>
      </c>
      <c r="W168" s="5" t="str">
        <f>IF($D168="","",VLOOKUP($B168,メインシート!$B$13:$D$18,2,0))</f>
        <v>山形</v>
      </c>
      <c r="X168" s="5"/>
    </row>
    <row r="169" spans="1:27" x14ac:dyDescent="0.15">
      <c r="A169" s="9">
        <v>166</v>
      </c>
      <c r="B169" s="5">
        <f t="shared" si="6"/>
        <v>4</v>
      </c>
      <c r="C169" s="71">
        <f t="shared" si="5"/>
        <v>40116</v>
      </c>
      <c r="D169" s="72">
        <v>116</v>
      </c>
      <c r="E169" s="4" t="s">
        <v>1902</v>
      </c>
      <c r="F169" s="4" t="s">
        <v>1903</v>
      </c>
      <c r="G169" s="4" t="s">
        <v>1904</v>
      </c>
      <c r="H169" s="4" t="s">
        <v>1905</v>
      </c>
      <c r="I169" s="4"/>
      <c r="J169" s="4"/>
      <c r="K169" s="4"/>
      <c r="L169" s="4"/>
      <c r="M169" s="4"/>
      <c r="N169" s="4"/>
      <c r="O169" s="4"/>
      <c r="P169" s="4"/>
      <c r="Q169" s="4"/>
      <c r="R169" s="3"/>
      <c r="S169" s="3" t="s">
        <v>1906</v>
      </c>
      <c r="T169" s="3" t="s">
        <v>1907</v>
      </c>
      <c r="U169" s="3" t="s">
        <v>1908</v>
      </c>
      <c r="V169" s="3" t="s">
        <v>1909</v>
      </c>
      <c r="W169" s="5" t="str">
        <f>IF($D169="","",VLOOKUP($B169,メインシート!$B$13:$D$18,2,0))</f>
        <v>山形</v>
      </c>
      <c r="X169" s="5"/>
      <c r="Z169" s="1" t="s">
        <v>1986</v>
      </c>
      <c r="AA169" s="1" t="s">
        <v>1987</v>
      </c>
    </row>
    <row r="170" spans="1:27" x14ac:dyDescent="0.15">
      <c r="A170" s="9">
        <v>167</v>
      </c>
      <c r="B170" s="5">
        <f t="shared" si="6"/>
        <v>4</v>
      </c>
      <c r="C170" s="71">
        <f t="shared" si="5"/>
        <v>40117</v>
      </c>
      <c r="D170" s="72">
        <v>117</v>
      </c>
      <c r="E170" s="4" t="s">
        <v>1959</v>
      </c>
      <c r="F170" s="4" t="s">
        <v>1960</v>
      </c>
      <c r="G170" s="4" t="s">
        <v>1961</v>
      </c>
      <c r="H170" s="4" t="s">
        <v>1962</v>
      </c>
      <c r="I170" s="4"/>
      <c r="J170" s="4"/>
      <c r="K170" s="4"/>
      <c r="L170" s="4"/>
      <c r="M170" s="4"/>
      <c r="N170" s="4"/>
      <c r="O170" s="4"/>
      <c r="P170" s="4"/>
      <c r="Q170" s="4"/>
      <c r="R170" s="3"/>
      <c r="S170" s="3" t="s">
        <v>1963</v>
      </c>
      <c r="T170" s="3" t="s">
        <v>1964</v>
      </c>
      <c r="U170" s="3" t="s">
        <v>1965</v>
      </c>
      <c r="V170" s="3" t="s">
        <v>1977</v>
      </c>
      <c r="W170" s="5" t="str">
        <f>IF($D170="","",VLOOKUP($B170,メインシート!$B$13:$D$18,2,0))</f>
        <v>山形</v>
      </c>
      <c r="X170" s="5"/>
    </row>
    <row r="171" spans="1:27" x14ac:dyDescent="0.15">
      <c r="A171" s="9">
        <v>168</v>
      </c>
      <c r="B171" s="5">
        <f t="shared" si="6"/>
        <v>4</v>
      </c>
      <c r="C171" s="71">
        <f t="shared" si="5"/>
        <v>40118</v>
      </c>
      <c r="D171" s="72">
        <v>118</v>
      </c>
      <c r="E171" s="4" t="s">
        <v>2011</v>
      </c>
      <c r="F171" s="4" t="s">
        <v>2029</v>
      </c>
      <c r="G171" s="4" t="s">
        <v>2047</v>
      </c>
      <c r="H171" s="4" t="s">
        <v>2065</v>
      </c>
      <c r="I171" s="4"/>
      <c r="J171" s="4"/>
      <c r="K171" s="4"/>
      <c r="L171" s="4"/>
      <c r="M171" s="4"/>
      <c r="N171" s="4"/>
      <c r="O171" s="4"/>
      <c r="P171" s="4"/>
      <c r="Q171" s="4"/>
      <c r="R171" s="3"/>
      <c r="S171" s="3" t="s">
        <v>2254</v>
      </c>
      <c r="T171" s="3" t="s">
        <v>2255</v>
      </c>
      <c r="U171" s="3" t="s">
        <v>2252</v>
      </c>
      <c r="V171" s="3" t="s">
        <v>2253</v>
      </c>
      <c r="W171" s="5" t="str">
        <f>IF($D171="","",VLOOKUP($B171,メインシート!$B$13:$D$18,2,0))</f>
        <v>山形</v>
      </c>
      <c r="X171" s="5"/>
      <c r="Z171" s="1" t="s">
        <v>1796</v>
      </c>
      <c r="AA171" s="1" t="s">
        <v>1797</v>
      </c>
    </row>
    <row r="172" spans="1:27" x14ac:dyDescent="0.15">
      <c r="A172" s="9">
        <v>169</v>
      </c>
      <c r="B172" s="5">
        <f t="shared" si="6"/>
        <v>4</v>
      </c>
      <c r="C172" s="71">
        <f t="shared" si="5"/>
        <v>40119</v>
      </c>
      <c r="D172" s="72">
        <v>119</v>
      </c>
      <c r="E172" s="4" t="s">
        <v>2014</v>
      </c>
      <c r="F172" s="4" t="s">
        <v>2032</v>
      </c>
      <c r="G172" s="4" t="s">
        <v>2050</v>
      </c>
      <c r="H172" s="4" t="s">
        <v>2068</v>
      </c>
      <c r="I172" s="4"/>
      <c r="J172" s="4"/>
      <c r="K172" s="4"/>
      <c r="L172" s="4"/>
      <c r="M172" s="4"/>
      <c r="N172" s="4"/>
      <c r="O172" s="4"/>
      <c r="P172" s="4"/>
      <c r="Q172" s="4"/>
      <c r="R172" s="3"/>
      <c r="S172" s="3" t="s">
        <v>2266</v>
      </c>
      <c r="T172" s="3" t="s">
        <v>2267</v>
      </c>
      <c r="U172" s="3" t="s">
        <v>2264</v>
      </c>
      <c r="V172" s="3" t="s">
        <v>2265</v>
      </c>
      <c r="W172" s="5" t="str">
        <f>IF($D172="","",VLOOKUP($B172,メインシート!$B$13:$D$18,2,0))</f>
        <v>山形</v>
      </c>
      <c r="X172" s="5"/>
      <c r="Z172" s="1" t="s">
        <v>1794</v>
      </c>
      <c r="AA172" s="1" t="s">
        <v>1795</v>
      </c>
    </row>
    <row r="173" spans="1:27" x14ac:dyDescent="0.15">
      <c r="A173" s="9">
        <v>170</v>
      </c>
      <c r="B173" s="5">
        <f t="shared" si="6"/>
        <v>4</v>
      </c>
      <c r="C173" s="71">
        <f t="shared" si="5"/>
        <v>40120</v>
      </c>
      <c r="D173" s="72">
        <v>120</v>
      </c>
      <c r="E173" s="4" t="s">
        <v>2008</v>
      </c>
      <c r="F173" s="4" t="s">
        <v>2026</v>
      </c>
      <c r="G173" s="4" t="s">
        <v>2044</v>
      </c>
      <c r="H173" s="4" t="s">
        <v>2062</v>
      </c>
      <c r="I173" s="4"/>
      <c r="J173" s="4"/>
      <c r="K173" s="4"/>
      <c r="L173" s="4"/>
      <c r="M173" s="4"/>
      <c r="N173" s="4"/>
      <c r="O173" s="4"/>
      <c r="P173" s="4"/>
      <c r="Q173" s="4"/>
      <c r="R173" s="3"/>
      <c r="S173" s="3" t="s">
        <v>2242</v>
      </c>
      <c r="T173" s="3" t="s">
        <v>2243</v>
      </c>
      <c r="U173" s="3" t="s">
        <v>2240</v>
      </c>
      <c r="V173" s="3" t="s">
        <v>2241</v>
      </c>
      <c r="W173" s="5" t="str">
        <f>IF($D173="","",VLOOKUP($B173,メインシート!$B$13:$D$18,2,0))</f>
        <v>山形</v>
      </c>
      <c r="X173" s="5"/>
      <c r="Z173" s="1" t="s">
        <v>1998</v>
      </c>
      <c r="AA173" s="1" t="s">
        <v>2000</v>
      </c>
    </row>
    <row r="174" spans="1:27" x14ac:dyDescent="0.15">
      <c r="A174" s="9">
        <v>171</v>
      </c>
      <c r="B174" s="5">
        <f t="shared" si="6"/>
        <v>4</v>
      </c>
      <c r="C174" s="71">
        <f t="shared" si="5"/>
        <v>40121</v>
      </c>
      <c r="D174" s="72">
        <v>121</v>
      </c>
      <c r="E174" s="4" t="s">
        <v>1966</v>
      </c>
      <c r="F174" s="4" t="s">
        <v>1967</v>
      </c>
      <c r="G174" s="4" t="s">
        <v>1968</v>
      </c>
      <c r="H174" s="4" t="s">
        <v>1969</v>
      </c>
      <c r="I174" s="4"/>
      <c r="J174" s="4"/>
      <c r="K174" s="4"/>
      <c r="L174" s="4"/>
      <c r="M174" s="4"/>
      <c r="N174" s="4"/>
      <c r="O174" s="4"/>
      <c r="P174" s="4"/>
      <c r="Q174" s="4"/>
      <c r="R174" s="3"/>
      <c r="S174" s="3" t="s">
        <v>1970</v>
      </c>
      <c r="T174" s="3" t="s">
        <v>1971</v>
      </c>
      <c r="U174" s="3" t="s">
        <v>1972</v>
      </c>
      <c r="V174" s="3" t="s">
        <v>1978</v>
      </c>
      <c r="W174" s="5" t="str">
        <f>IF($D174="","",VLOOKUP($B174,メインシート!$B$13:$D$18,2,0))</f>
        <v>山形</v>
      </c>
      <c r="X174" s="5"/>
      <c r="Z174" s="1" t="s">
        <v>1792</v>
      </c>
      <c r="AA174" s="1" t="s">
        <v>1793</v>
      </c>
    </row>
    <row r="175" spans="1:27" x14ac:dyDescent="0.15">
      <c r="A175" s="9">
        <v>172</v>
      </c>
      <c r="B175" s="5">
        <f t="shared" si="6"/>
        <v>4</v>
      </c>
      <c r="C175" s="71">
        <f t="shared" si="5"/>
        <v>40122</v>
      </c>
      <c r="D175" s="72">
        <v>122</v>
      </c>
      <c r="E175" s="4" t="s">
        <v>2010</v>
      </c>
      <c r="F175" s="4" t="s">
        <v>2028</v>
      </c>
      <c r="G175" s="4" t="s">
        <v>2046</v>
      </c>
      <c r="H175" s="4" t="s">
        <v>2064</v>
      </c>
      <c r="I175" s="4"/>
      <c r="J175" s="4"/>
      <c r="K175" s="4"/>
      <c r="L175" s="4"/>
      <c r="M175" s="4"/>
      <c r="N175" s="4"/>
      <c r="O175" s="4"/>
      <c r="P175" s="4"/>
      <c r="Q175" s="4"/>
      <c r="R175" s="3"/>
      <c r="S175" s="3" t="s">
        <v>2250</v>
      </c>
      <c r="T175" s="3" t="s">
        <v>2251</v>
      </c>
      <c r="U175" s="3" t="s">
        <v>2248</v>
      </c>
      <c r="V175" s="3" t="s">
        <v>2249</v>
      </c>
      <c r="W175" s="5" t="str">
        <f>IF($D175="","",VLOOKUP($B175,メインシート!$B$13:$D$18,2,0))</f>
        <v>山形</v>
      </c>
      <c r="X175" s="5"/>
      <c r="Z175" s="1" t="s">
        <v>1808</v>
      </c>
      <c r="AA175" s="1" t="s">
        <v>1809</v>
      </c>
    </row>
    <row r="176" spans="1:27" x14ac:dyDescent="0.15">
      <c r="A176" s="9">
        <v>173</v>
      </c>
      <c r="B176" s="5">
        <f t="shared" si="6"/>
        <v>4</v>
      </c>
      <c r="C176" s="71">
        <f t="shared" si="5"/>
        <v>40123</v>
      </c>
      <c r="D176" s="72">
        <v>123</v>
      </c>
      <c r="E176" s="4" t="s">
        <v>1944</v>
      </c>
      <c r="F176" s="4" t="s">
        <v>1945</v>
      </c>
      <c r="G176" s="4" t="s">
        <v>1946</v>
      </c>
      <c r="H176" s="4" t="s">
        <v>1947</v>
      </c>
      <c r="I176" s="4"/>
      <c r="J176" s="4"/>
      <c r="K176" s="4"/>
      <c r="L176" s="4"/>
      <c r="M176" s="4"/>
      <c r="N176" s="4"/>
      <c r="O176" s="4"/>
      <c r="P176" s="4"/>
      <c r="Q176" s="4"/>
      <c r="R176" s="3"/>
      <c r="S176" s="3" t="s">
        <v>1948</v>
      </c>
      <c r="T176" s="3" t="s">
        <v>1949</v>
      </c>
      <c r="U176" s="3" t="s">
        <v>1950</v>
      </c>
      <c r="V176" s="3" t="s">
        <v>1951</v>
      </c>
      <c r="W176" s="5" t="str">
        <f>IF($D176="","",VLOOKUP($B176,メインシート!$B$13:$D$18,2,0))</f>
        <v>山形</v>
      </c>
      <c r="X176" s="5"/>
      <c r="Z176" s="1" t="s">
        <v>1988</v>
      </c>
      <c r="AA176" s="1" t="s">
        <v>1989</v>
      </c>
    </row>
    <row r="177" spans="1:27" x14ac:dyDescent="0.15">
      <c r="A177" s="9">
        <v>174</v>
      </c>
      <c r="B177" s="5">
        <f t="shared" si="6"/>
        <v>4</v>
      </c>
      <c r="C177" s="71">
        <f t="shared" si="5"/>
        <v>40124</v>
      </c>
      <c r="D177" s="72">
        <v>124</v>
      </c>
      <c r="E177" s="4" t="s">
        <v>2005</v>
      </c>
      <c r="F177" s="4" t="s">
        <v>2023</v>
      </c>
      <c r="G177" s="4" t="s">
        <v>2041</v>
      </c>
      <c r="H177" s="4" t="s">
        <v>2059</v>
      </c>
      <c r="I177" s="4"/>
      <c r="J177" s="4"/>
      <c r="K177" s="4"/>
      <c r="L177" s="4"/>
      <c r="M177" s="4"/>
      <c r="N177" s="4"/>
      <c r="O177" s="4"/>
      <c r="P177" s="4"/>
      <c r="Q177" s="4"/>
      <c r="R177" s="3"/>
      <c r="S177" s="3" t="s">
        <v>2234</v>
      </c>
      <c r="T177" s="3" t="s">
        <v>2235</v>
      </c>
      <c r="U177" s="3" t="s">
        <v>2232</v>
      </c>
      <c r="V177" s="3" t="s">
        <v>2233</v>
      </c>
      <c r="W177" s="5" t="str">
        <f>IF($D177="","",VLOOKUP($B177,メインシート!$B$13:$D$18,2,0))</f>
        <v>山形</v>
      </c>
      <c r="X177" s="5"/>
      <c r="Z177" s="1" t="s">
        <v>1776</v>
      </c>
      <c r="AA177" s="1" t="s">
        <v>1777</v>
      </c>
    </row>
    <row r="178" spans="1:27" x14ac:dyDescent="0.15">
      <c r="A178" s="9">
        <v>175</v>
      </c>
      <c r="B178" s="5">
        <f t="shared" si="6"/>
        <v>4</v>
      </c>
      <c r="C178" s="71">
        <f t="shared" si="5"/>
        <v>40125</v>
      </c>
      <c r="D178" s="72">
        <v>125</v>
      </c>
      <c r="E178" s="4" t="s">
        <v>2004</v>
      </c>
      <c r="F178" s="4" t="s">
        <v>2022</v>
      </c>
      <c r="G178" s="4" t="s">
        <v>2040</v>
      </c>
      <c r="H178" s="4" t="s">
        <v>2058</v>
      </c>
      <c r="I178" s="4"/>
      <c r="J178" s="4"/>
      <c r="K178" s="4"/>
      <c r="L178" s="4"/>
      <c r="M178" s="4"/>
      <c r="N178" s="4"/>
      <c r="O178" s="4"/>
      <c r="P178" s="4"/>
      <c r="Q178" s="4"/>
      <c r="R178" s="3"/>
      <c r="S178" s="3" t="s">
        <v>2230</v>
      </c>
      <c r="T178" s="3" t="s">
        <v>2231</v>
      </c>
      <c r="U178" s="3" t="s">
        <v>2228</v>
      </c>
      <c r="V178" s="3" t="s">
        <v>2229</v>
      </c>
      <c r="W178" s="5" t="str">
        <f>IF($D178="","",VLOOKUP($B178,メインシート!$B$13:$D$18,2,0))</f>
        <v>山形</v>
      </c>
      <c r="X178" s="5"/>
      <c r="Z178" s="1" t="s">
        <v>1984</v>
      </c>
      <c r="AA178" s="1" t="s">
        <v>1985</v>
      </c>
    </row>
    <row r="179" spans="1:27" x14ac:dyDescent="0.15">
      <c r="A179" s="9">
        <v>176</v>
      </c>
      <c r="B179" s="5">
        <f t="shared" si="6"/>
        <v>4</v>
      </c>
      <c r="C179" s="71">
        <f t="shared" si="5"/>
        <v>40126</v>
      </c>
      <c r="D179" s="72">
        <v>126</v>
      </c>
      <c r="E179" s="4" t="s">
        <v>1870</v>
      </c>
      <c r="F179" s="4" t="s">
        <v>1871</v>
      </c>
      <c r="G179" s="4" t="s">
        <v>1872</v>
      </c>
      <c r="H179" s="4" t="s">
        <v>1873</v>
      </c>
      <c r="I179" s="4"/>
      <c r="J179" s="4"/>
      <c r="K179" s="4"/>
      <c r="L179" s="4"/>
      <c r="M179" s="4"/>
      <c r="N179" s="4"/>
      <c r="O179" s="4"/>
      <c r="P179" s="4"/>
      <c r="Q179" s="4"/>
      <c r="R179" s="3"/>
      <c r="S179" s="3" t="s">
        <v>1874</v>
      </c>
      <c r="T179" s="3" t="s">
        <v>1875</v>
      </c>
      <c r="U179" s="3" t="s">
        <v>1876</v>
      </c>
      <c r="V179" s="3" t="s">
        <v>1877</v>
      </c>
      <c r="W179" s="5" t="str">
        <f>IF($D179="","",VLOOKUP($B179,メインシート!$B$13:$D$18,2,0))</f>
        <v>山形</v>
      </c>
      <c r="X179" s="5"/>
      <c r="Z179" s="1" t="s">
        <v>1812</v>
      </c>
      <c r="AA179" s="1" t="s">
        <v>1813</v>
      </c>
    </row>
    <row r="180" spans="1:27" x14ac:dyDescent="0.15">
      <c r="A180" s="9">
        <v>177</v>
      </c>
      <c r="B180" s="5">
        <f t="shared" si="6"/>
        <v>4</v>
      </c>
      <c r="C180" s="71">
        <f t="shared" si="5"/>
        <v>40127</v>
      </c>
      <c r="D180" s="72">
        <v>127</v>
      </c>
      <c r="E180" s="4" t="s">
        <v>2015</v>
      </c>
      <c r="F180" s="4" t="s">
        <v>2033</v>
      </c>
      <c r="G180" s="4" t="s">
        <v>2051</v>
      </c>
      <c r="H180" s="4" t="s">
        <v>2069</v>
      </c>
      <c r="I180" s="4"/>
      <c r="J180" s="4"/>
      <c r="K180" s="4"/>
      <c r="L180" s="4"/>
      <c r="M180" s="4"/>
      <c r="N180" s="4"/>
      <c r="O180" s="4"/>
      <c r="P180" s="4"/>
      <c r="Q180" s="4"/>
      <c r="R180" s="3"/>
      <c r="S180" s="3" t="s">
        <v>2270</v>
      </c>
      <c r="T180" s="3" t="s">
        <v>2271</v>
      </c>
      <c r="U180" s="3" t="s">
        <v>2268</v>
      </c>
      <c r="V180" s="3" t="s">
        <v>2269</v>
      </c>
      <c r="W180" s="5" t="str">
        <f>IF($D180="","",VLOOKUP($B180,メインシート!$B$13:$D$18,2,0))</f>
        <v>山形</v>
      </c>
      <c r="X180" s="5"/>
      <c r="Z180" s="1" t="s">
        <v>1782</v>
      </c>
      <c r="AA180" s="1" t="s">
        <v>1783</v>
      </c>
    </row>
    <row r="181" spans="1:27" x14ac:dyDescent="0.15">
      <c r="A181" s="9">
        <v>178</v>
      </c>
      <c r="B181" s="5">
        <f t="shared" si="6"/>
        <v>4</v>
      </c>
      <c r="C181" s="71">
        <f t="shared" si="5"/>
        <v>40128</v>
      </c>
      <c r="D181" s="72">
        <v>128</v>
      </c>
      <c r="E181" s="4" t="s">
        <v>1894</v>
      </c>
      <c r="F181" s="4" t="s">
        <v>1895</v>
      </c>
      <c r="G181" s="4" t="s">
        <v>1896</v>
      </c>
      <c r="H181" s="4" t="s">
        <v>1897</v>
      </c>
      <c r="I181" s="4"/>
      <c r="J181" s="4"/>
      <c r="K181" s="4"/>
      <c r="L181" s="4"/>
      <c r="M181" s="4"/>
      <c r="N181" s="4"/>
      <c r="O181" s="4"/>
      <c r="P181" s="4"/>
      <c r="Q181" s="4"/>
      <c r="R181" s="3"/>
      <c r="S181" s="3" t="s">
        <v>1898</v>
      </c>
      <c r="T181" s="3" t="s">
        <v>1899</v>
      </c>
      <c r="U181" s="3" t="s">
        <v>1900</v>
      </c>
      <c r="V181" s="3" t="s">
        <v>1901</v>
      </c>
      <c r="W181" s="5" t="str">
        <f>IF($D181="","",VLOOKUP($B181,メインシート!$B$13:$D$18,2,0))</f>
        <v>山形</v>
      </c>
      <c r="X181" s="5"/>
      <c r="Z181" s="1" t="s">
        <v>1788</v>
      </c>
      <c r="AA181" s="1" t="s">
        <v>1789</v>
      </c>
    </row>
    <row r="182" spans="1:27" x14ac:dyDescent="0.15">
      <c r="A182" s="9">
        <v>179</v>
      </c>
      <c r="B182" s="5">
        <f t="shared" si="6"/>
        <v>4</v>
      </c>
      <c r="C182" s="71">
        <f t="shared" si="5"/>
        <v>40129</v>
      </c>
      <c r="D182" s="72">
        <v>129</v>
      </c>
      <c r="E182" s="4" t="s">
        <v>1886</v>
      </c>
      <c r="F182" s="4" t="s">
        <v>1887</v>
      </c>
      <c r="G182" s="4" t="s">
        <v>1888</v>
      </c>
      <c r="H182" s="4" t="s">
        <v>1889</v>
      </c>
      <c r="I182" s="4"/>
      <c r="J182" s="4"/>
      <c r="K182" s="4"/>
      <c r="L182" s="4"/>
      <c r="M182" s="4"/>
      <c r="N182" s="4"/>
      <c r="O182" s="4"/>
      <c r="P182" s="4"/>
      <c r="Q182" s="4"/>
      <c r="R182" s="3"/>
      <c r="S182" s="3" t="s">
        <v>1890</v>
      </c>
      <c r="T182" s="3" t="s">
        <v>1891</v>
      </c>
      <c r="U182" s="3" t="s">
        <v>1892</v>
      </c>
      <c r="V182" s="3" t="s">
        <v>1893</v>
      </c>
      <c r="W182" s="5" t="str">
        <f>IF($D182="","",VLOOKUP($B182,メインシート!$B$13:$D$18,2,0))</f>
        <v>山形</v>
      </c>
      <c r="X182" s="5"/>
      <c r="Z182" s="1" t="s">
        <v>1786</v>
      </c>
      <c r="AA182" s="1" t="s">
        <v>1787</v>
      </c>
    </row>
    <row r="183" spans="1:27" x14ac:dyDescent="0.15">
      <c r="A183" s="9">
        <v>180</v>
      </c>
      <c r="B183" s="5">
        <f t="shared" si="6"/>
        <v>4</v>
      </c>
      <c r="C183" s="71">
        <f t="shared" si="5"/>
        <v>40130</v>
      </c>
      <c r="D183" s="72">
        <v>130</v>
      </c>
      <c r="E183" s="4" t="s">
        <v>2003</v>
      </c>
      <c r="F183" s="4" t="s">
        <v>2021</v>
      </c>
      <c r="G183" s="4" t="s">
        <v>2039</v>
      </c>
      <c r="H183" s="4" t="s">
        <v>2057</v>
      </c>
      <c r="I183" s="4"/>
      <c r="J183" s="4"/>
      <c r="K183" s="4"/>
      <c r="L183" s="4"/>
      <c r="M183" s="4"/>
      <c r="N183" s="4"/>
      <c r="O183" s="4"/>
      <c r="P183" s="4"/>
      <c r="Q183" s="4"/>
      <c r="R183" s="3"/>
      <c r="S183" s="3" t="s">
        <v>2222</v>
      </c>
      <c r="T183" s="3" t="s">
        <v>2223</v>
      </c>
      <c r="U183" s="3" t="s">
        <v>2220</v>
      </c>
      <c r="V183" s="3" t="s">
        <v>2221</v>
      </c>
      <c r="W183" s="5" t="str">
        <f>IF($D183="","",VLOOKUP($B183,メインシート!$B$13:$D$18,2,0))</f>
        <v>山形</v>
      </c>
      <c r="X183" s="5"/>
      <c r="Z183" s="1" t="s">
        <v>1774</v>
      </c>
      <c r="AA183" s="1" t="s">
        <v>1775</v>
      </c>
    </row>
    <row r="184" spans="1:27" x14ac:dyDescent="0.15">
      <c r="A184" s="9">
        <v>181</v>
      </c>
      <c r="B184" s="5">
        <f t="shared" si="6"/>
        <v>4</v>
      </c>
      <c r="C184" s="71">
        <f t="shared" si="5"/>
        <v>40131</v>
      </c>
      <c r="D184" s="72">
        <v>131</v>
      </c>
      <c r="E184" s="4" t="s">
        <v>1937</v>
      </c>
      <c r="F184" s="4" t="s">
        <v>1938</v>
      </c>
      <c r="G184" s="4" t="s">
        <v>1939</v>
      </c>
      <c r="H184" s="4" t="s">
        <v>1940</v>
      </c>
      <c r="I184" s="4"/>
      <c r="J184" s="4"/>
      <c r="K184" s="4"/>
      <c r="L184" s="4"/>
      <c r="M184" s="4"/>
      <c r="N184" s="4"/>
      <c r="O184" s="4"/>
      <c r="P184" s="4"/>
      <c r="Q184" s="4"/>
      <c r="R184" s="3"/>
      <c r="S184" s="3" t="s">
        <v>1941</v>
      </c>
      <c r="T184" s="3" t="s">
        <v>1942</v>
      </c>
      <c r="U184" s="3" t="s">
        <v>1943</v>
      </c>
      <c r="V184" s="3" t="s">
        <v>1975</v>
      </c>
      <c r="W184" s="5" t="str">
        <f>IF($D184="","",VLOOKUP($B184,メインシート!$B$13:$D$18,2,0))</f>
        <v>山形</v>
      </c>
      <c r="X184" s="5"/>
    </row>
    <row r="185" spans="1:27" x14ac:dyDescent="0.15">
      <c r="A185" s="9">
        <v>182</v>
      </c>
      <c r="B185" s="5">
        <f t="shared" si="6"/>
        <v>4</v>
      </c>
      <c r="C185" s="71">
        <f t="shared" si="5"/>
        <v>40132</v>
      </c>
      <c r="D185" s="72">
        <v>132</v>
      </c>
      <c r="E185" s="4" t="s">
        <v>2012</v>
      </c>
      <c r="F185" s="4" t="s">
        <v>2030</v>
      </c>
      <c r="G185" s="4" t="s">
        <v>2048</v>
      </c>
      <c r="H185" s="4" t="s">
        <v>2066</v>
      </c>
      <c r="I185" s="4"/>
      <c r="J185" s="4"/>
      <c r="K185" s="4"/>
      <c r="L185" s="4"/>
      <c r="M185" s="4"/>
      <c r="N185" s="4"/>
      <c r="O185" s="4"/>
      <c r="P185" s="4"/>
      <c r="Q185" s="4"/>
      <c r="R185" s="3"/>
      <c r="S185" s="3" t="s">
        <v>2258</v>
      </c>
      <c r="T185" s="3" t="s">
        <v>2259</v>
      </c>
      <c r="U185" s="3" t="s">
        <v>2256</v>
      </c>
      <c r="V185" s="3" t="s">
        <v>2257</v>
      </c>
      <c r="W185" s="5" t="str">
        <f>IF($D185="","",VLOOKUP($B185,メインシート!$B$13:$D$18,2,0))</f>
        <v>山形</v>
      </c>
      <c r="X185" s="5"/>
      <c r="Z185" s="1" t="s">
        <v>1996</v>
      </c>
      <c r="AA185" s="1" t="s">
        <v>1997</v>
      </c>
    </row>
    <row r="186" spans="1:27" x14ac:dyDescent="0.15">
      <c r="A186" s="9">
        <v>183</v>
      </c>
      <c r="B186" s="5">
        <f t="shared" si="6"/>
        <v>4</v>
      </c>
      <c r="C186" s="71">
        <f t="shared" si="5"/>
        <v>40133</v>
      </c>
      <c r="D186" s="72">
        <v>133</v>
      </c>
      <c r="E186" s="4" t="s">
        <v>1920</v>
      </c>
      <c r="F186" s="4" t="s">
        <v>1921</v>
      </c>
      <c r="G186" s="4" t="s">
        <v>1922</v>
      </c>
      <c r="H186" s="4" t="s">
        <v>1923</v>
      </c>
      <c r="I186" s="4"/>
      <c r="J186" s="4"/>
      <c r="K186" s="4"/>
      <c r="L186" s="4"/>
      <c r="M186" s="4"/>
      <c r="N186" s="4"/>
      <c r="O186" s="4"/>
      <c r="P186" s="4"/>
      <c r="Q186" s="4"/>
      <c r="R186" s="3"/>
      <c r="S186" s="3" t="s">
        <v>1924</v>
      </c>
      <c r="T186" s="3" t="s">
        <v>1925</v>
      </c>
      <c r="U186" s="3" t="s">
        <v>1926</v>
      </c>
      <c r="V186" s="3" t="s">
        <v>1974</v>
      </c>
      <c r="W186" s="5" t="str">
        <f>IF($D186="","",VLOOKUP($B186,メインシート!$B$13:$D$18,2,0))</f>
        <v>山形</v>
      </c>
      <c r="X186" s="5"/>
    </row>
    <row r="187" spans="1:27" x14ac:dyDescent="0.15">
      <c r="A187" s="9">
        <v>184</v>
      </c>
      <c r="B187" s="5">
        <f t="shared" si="6"/>
        <v>4</v>
      </c>
      <c r="C187" s="71">
        <f t="shared" si="5"/>
        <v>40134</v>
      </c>
      <c r="D187" s="72">
        <v>134</v>
      </c>
      <c r="E187" s="4" t="s">
        <v>2006</v>
      </c>
      <c r="F187" s="4" t="s">
        <v>2024</v>
      </c>
      <c r="G187" s="4" t="s">
        <v>2042</v>
      </c>
      <c r="H187" s="4" t="s">
        <v>2060</v>
      </c>
      <c r="I187" s="4"/>
      <c r="J187" s="4"/>
      <c r="K187" s="4"/>
      <c r="L187" s="4"/>
      <c r="M187" s="4"/>
      <c r="N187" s="4"/>
      <c r="O187" s="4"/>
      <c r="P187" s="4"/>
      <c r="Q187" s="4"/>
      <c r="R187" s="3"/>
      <c r="S187" s="3" t="s">
        <v>2238</v>
      </c>
      <c r="T187" s="3" t="s">
        <v>2239</v>
      </c>
      <c r="U187" s="3" t="s">
        <v>2236</v>
      </c>
      <c r="V187" s="3" t="s">
        <v>2237</v>
      </c>
      <c r="W187" s="5" t="str">
        <f>IF($D187="","",VLOOKUP($B187,メインシート!$B$13:$D$18,2,0))</f>
        <v>山形</v>
      </c>
      <c r="X187" s="5"/>
      <c r="Z187" s="1" t="s">
        <v>1778</v>
      </c>
      <c r="AA187" s="1" t="s">
        <v>1779</v>
      </c>
    </row>
    <row r="188" spans="1:27" x14ac:dyDescent="0.15">
      <c r="A188" s="9">
        <v>185</v>
      </c>
      <c r="B188" s="5">
        <f t="shared" si="6"/>
        <v>4</v>
      </c>
      <c r="C188" s="71">
        <f t="shared" si="5"/>
        <v>40135</v>
      </c>
      <c r="D188" s="72">
        <v>135</v>
      </c>
      <c r="E188" s="4" t="s">
        <v>2013</v>
      </c>
      <c r="F188" s="4" t="s">
        <v>2031</v>
      </c>
      <c r="G188" s="4" t="s">
        <v>2049</v>
      </c>
      <c r="H188" s="4" t="s">
        <v>2067</v>
      </c>
      <c r="I188" s="4"/>
      <c r="J188" s="4"/>
      <c r="K188" s="4"/>
      <c r="L188" s="4"/>
      <c r="M188" s="4"/>
      <c r="N188" s="4"/>
      <c r="O188" s="4"/>
      <c r="P188" s="4"/>
      <c r="Q188" s="4"/>
      <c r="R188" s="3"/>
      <c r="S188" s="3" t="s">
        <v>2262</v>
      </c>
      <c r="T188" s="3" t="s">
        <v>2263</v>
      </c>
      <c r="U188" s="3" t="s">
        <v>2260</v>
      </c>
      <c r="V188" s="3" t="s">
        <v>2261</v>
      </c>
      <c r="W188" s="5" t="str">
        <f>IF($D188="","",VLOOKUP($B188,メインシート!$B$13:$D$18,2,0))</f>
        <v>山形</v>
      </c>
      <c r="X188" s="5"/>
      <c r="Z188" s="1" t="s">
        <v>1993</v>
      </c>
      <c r="AA188" s="1" t="s">
        <v>2001</v>
      </c>
    </row>
    <row r="189" spans="1:27" x14ac:dyDescent="0.15">
      <c r="A189" s="9">
        <v>186</v>
      </c>
      <c r="B189" s="5">
        <f t="shared" si="6"/>
        <v>4</v>
      </c>
      <c r="C189" s="71">
        <f t="shared" si="5"/>
        <v>40136</v>
      </c>
      <c r="D189" s="72">
        <v>136</v>
      </c>
      <c r="E189" s="4" t="s">
        <v>1952</v>
      </c>
      <c r="F189" s="4" t="s">
        <v>1953</v>
      </c>
      <c r="G189" s="4" t="s">
        <v>1954</v>
      </c>
      <c r="H189" s="4" t="s">
        <v>1955</v>
      </c>
      <c r="I189" s="4"/>
      <c r="J189" s="4"/>
      <c r="K189" s="4"/>
      <c r="L189" s="4"/>
      <c r="M189" s="4"/>
      <c r="N189" s="4"/>
      <c r="O189" s="4"/>
      <c r="P189" s="4"/>
      <c r="Q189" s="4"/>
      <c r="R189" s="3"/>
      <c r="S189" s="3" t="s">
        <v>1956</v>
      </c>
      <c r="T189" s="3" t="s">
        <v>1957</v>
      </c>
      <c r="U189" s="3" t="s">
        <v>1958</v>
      </c>
      <c r="V189" s="3" t="s">
        <v>1976</v>
      </c>
      <c r="W189" s="5" t="str">
        <f>IF($D189="","",VLOOKUP($B189,メインシート!$B$13:$D$18,2,0))</f>
        <v>山形</v>
      </c>
      <c r="X189" s="5"/>
      <c r="Z189" s="1" t="s">
        <v>1804</v>
      </c>
      <c r="AA189" s="1" t="s">
        <v>1805</v>
      </c>
    </row>
    <row r="190" spans="1:27" x14ac:dyDescent="0.15">
      <c r="A190" s="9">
        <v>187</v>
      </c>
      <c r="B190" s="5">
        <f t="shared" si="6"/>
        <v>4</v>
      </c>
      <c r="C190" s="71">
        <f t="shared" si="5"/>
        <v>40137</v>
      </c>
      <c r="D190" s="72">
        <v>137</v>
      </c>
      <c r="E190" s="4" t="s">
        <v>1980</v>
      </c>
      <c r="F190" s="4" t="s">
        <v>1927</v>
      </c>
      <c r="G190" s="4" t="s">
        <v>1928</v>
      </c>
      <c r="H190" s="4" t="s">
        <v>1981</v>
      </c>
      <c r="I190" s="4"/>
      <c r="J190" s="4"/>
      <c r="K190" s="4"/>
      <c r="L190" s="4"/>
      <c r="M190" s="4"/>
      <c r="N190" s="4"/>
      <c r="O190" s="4"/>
      <c r="P190" s="4"/>
      <c r="Q190" s="4"/>
      <c r="R190" s="3"/>
      <c r="S190" s="3" t="s">
        <v>1918</v>
      </c>
      <c r="T190" s="3" t="s">
        <v>1919</v>
      </c>
      <c r="U190" s="3" t="s">
        <v>1982</v>
      </c>
      <c r="V190" s="3" t="s">
        <v>1983</v>
      </c>
      <c r="W190" s="5" t="str">
        <f>IF($D190="","",VLOOKUP($B190,メインシート!$B$13:$D$18,2,0))</f>
        <v>山形</v>
      </c>
      <c r="X190" s="5"/>
      <c r="Z190" s="1" t="s">
        <v>1810</v>
      </c>
      <c r="AA190" s="1" t="s">
        <v>1811</v>
      </c>
    </row>
    <row r="191" spans="1:27" x14ac:dyDescent="0.15">
      <c r="A191" s="9">
        <v>188</v>
      </c>
      <c r="B191" s="5">
        <f t="shared" si="6"/>
        <v>4</v>
      </c>
      <c r="C191" s="71">
        <f t="shared" si="5"/>
        <v>40138</v>
      </c>
      <c r="D191" s="72">
        <v>138</v>
      </c>
      <c r="E191" s="4" t="s">
        <v>2009</v>
      </c>
      <c r="F191" s="4" t="s">
        <v>2027</v>
      </c>
      <c r="G191" s="4" t="s">
        <v>2045</v>
      </c>
      <c r="H191" s="4" t="s">
        <v>2063</v>
      </c>
      <c r="I191" s="4"/>
      <c r="J191" s="4"/>
      <c r="K191" s="4"/>
      <c r="L191" s="4"/>
      <c r="M191" s="4"/>
      <c r="N191" s="4"/>
      <c r="O191" s="4"/>
      <c r="P191" s="4"/>
      <c r="Q191" s="4"/>
      <c r="R191" s="3"/>
      <c r="S191" s="3" t="s">
        <v>2246</v>
      </c>
      <c r="T191" s="3" t="s">
        <v>2247</v>
      </c>
      <c r="U191" s="3" t="s">
        <v>2244</v>
      </c>
      <c r="V191" s="3" t="s">
        <v>2245</v>
      </c>
      <c r="W191" s="5" t="str">
        <f>IF($D191="","",VLOOKUP($B191,メインシート!$B$13:$D$18,2,0))</f>
        <v>山形</v>
      </c>
      <c r="X191" s="5"/>
      <c r="Z191" s="1" t="s">
        <v>1800</v>
      </c>
      <c r="AA191" s="1" t="s">
        <v>1801</v>
      </c>
    </row>
    <row r="192" spans="1:27" x14ac:dyDescent="0.15">
      <c r="A192" s="9">
        <v>189</v>
      </c>
      <c r="B192" s="5">
        <f t="shared" si="6"/>
        <v>4</v>
      </c>
      <c r="C192" s="71">
        <f t="shared" si="5"/>
        <v>40139</v>
      </c>
      <c r="D192" s="72">
        <v>139</v>
      </c>
      <c r="E192" s="4" t="s">
        <v>2007</v>
      </c>
      <c r="F192" s="4" t="s">
        <v>2025</v>
      </c>
      <c r="G192" s="4" t="s">
        <v>2043</v>
      </c>
      <c r="H192" s="4" t="s">
        <v>2061</v>
      </c>
      <c r="I192" s="4"/>
      <c r="J192" s="4"/>
      <c r="K192" s="4"/>
      <c r="L192" s="4"/>
      <c r="M192" s="4"/>
      <c r="N192" s="4"/>
      <c r="O192" s="4"/>
      <c r="P192" s="4"/>
      <c r="Q192" s="4"/>
      <c r="R192" s="3"/>
      <c r="S192" s="3"/>
      <c r="T192" s="3"/>
      <c r="U192" s="3"/>
      <c r="V192" s="3"/>
      <c r="W192" s="5" t="str">
        <f>IF($D192="","",VLOOKUP($B192,メインシート!$B$13:$D$18,2,0))</f>
        <v>山形</v>
      </c>
      <c r="X192" s="5"/>
      <c r="Z192" s="1" t="s">
        <v>1814</v>
      </c>
      <c r="AA192" s="1" t="s">
        <v>1815</v>
      </c>
    </row>
    <row r="193" spans="1:27" x14ac:dyDescent="0.15">
      <c r="A193" s="9">
        <v>190</v>
      </c>
      <c r="B193" s="5">
        <f t="shared" si="6"/>
        <v>4</v>
      </c>
      <c r="C193" s="71">
        <f t="shared" si="5"/>
        <v>40140</v>
      </c>
      <c r="D193" s="72">
        <v>140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3"/>
      <c r="S193" s="3"/>
      <c r="T193" s="3"/>
      <c r="U193" s="3"/>
      <c r="V193" s="3"/>
      <c r="W193" s="5" t="str">
        <f>IF($D193="","",VLOOKUP($B193,メインシート!$B$13:$D$18,2,0))</f>
        <v>山形</v>
      </c>
      <c r="X193" s="5"/>
    </row>
    <row r="194" spans="1:27" x14ac:dyDescent="0.15">
      <c r="A194" s="9">
        <v>191</v>
      </c>
      <c r="B194" s="5">
        <f t="shared" si="6"/>
        <v>4</v>
      </c>
      <c r="C194" s="71">
        <f t="shared" si="5"/>
        <v>40141</v>
      </c>
      <c r="D194" s="72">
        <v>141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3"/>
      <c r="S194" s="3"/>
      <c r="T194" s="3"/>
      <c r="U194" s="3"/>
      <c r="V194" s="3"/>
      <c r="W194" s="5" t="str">
        <f>IF($D194="","",VLOOKUP($B194,メインシート!$B$13:$D$18,2,0))</f>
        <v>山形</v>
      </c>
      <c r="X194" s="5"/>
    </row>
    <row r="195" spans="1:27" x14ac:dyDescent="0.15">
      <c r="A195" s="9">
        <v>192</v>
      </c>
      <c r="B195" s="5">
        <f t="shared" si="6"/>
        <v>4</v>
      </c>
      <c r="C195" s="71">
        <f t="shared" si="5"/>
        <v>40142</v>
      </c>
      <c r="D195" s="72">
        <v>142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3"/>
      <c r="S195" s="3"/>
      <c r="T195" s="3"/>
      <c r="U195" s="3"/>
      <c r="V195" s="3"/>
      <c r="W195" s="5" t="str">
        <f>IF($D195="","",VLOOKUP($B195,メインシート!$B$13:$D$18,2,0))</f>
        <v>山形</v>
      </c>
      <c r="X195" s="5"/>
    </row>
    <row r="196" spans="1:27" x14ac:dyDescent="0.15">
      <c r="A196" s="9">
        <v>193</v>
      </c>
      <c r="B196" s="5">
        <f t="shared" si="6"/>
        <v>4</v>
      </c>
      <c r="C196" s="71">
        <f t="shared" si="5"/>
        <v>40143</v>
      </c>
      <c r="D196" s="72">
        <v>143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3"/>
      <c r="S196" s="3"/>
      <c r="T196" s="3"/>
      <c r="U196" s="3"/>
      <c r="V196" s="3"/>
      <c r="W196" s="5" t="str">
        <f>IF($D196="","",VLOOKUP($B196,メインシート!$B$13:$D$18,2,0))</f>
        <v>山形</v>
      </c>
      <c r="X196" s="5"/>
    </row>
    <row r="197" spans="1:27" x14ac:dyDescent="0.15">
      <c r="A197" s="9">
        <v>194</v>
      </c>
      <c r="B197" s="5">
        <f t="shared" si="6"/>
        <v>4</v>
      </c>
      <c r="C197" s="71">
        <f t="shared" si="5"/>
        <v>40144</v>
      </c>
      <c r="D197" s="72">
        <v>144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3"/>
      <c r="S197" s="3"/>
      <c r="T197" s="3"/>
      <c r="U197" s="3"/>
      <c r="V197" s="3"/>
      <c r="W197" s="5" t="str">
        <f>IF($D197="","",VLOOKUP($B197,メインシート!$B$13:$D$18,2,0))</f>
        <v>山形</v>
      </c>
      <c r="X197" s="5"/>
    </row>
    <row r="198" spans="1:27" x14ac:dyDescent="0.15">
      <c r="A198" s="9">
        <v>195</v>
      </c>
      <c r="B198" s="5">
        <f t="shared" si="6"/>
        <v>4</v>
      </c>
      <c r="C198" s="71">
        <f t="shared" si="5"/>
        <v>40145</v>
      </c>
      <c r="D198" s="72">
        <v>145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3"/>
      <c r="S198" s="3"/>
      <c r="T198" s="3"/>
      <c r="U198" s="3"/>
      <c r="V198" s="3"/>
      <c r="W198" s="5" t="str">
        <f>IF($D198="","",VLOOKUP($B198,メインシート!$B$13:$D$18,2,0))</f>
        <v>山形</v>
      </c>
      <c r="X198" s="5"/>
    </row>
    <row r="199" spans="1:27" x14ac:dyDescent="0.15">
      <c r="A199" s="9">
        <v>196</v>
      </c>
      <c r="B199" s="5">
        <f t="shared" si="6"/>
        <v>4</v>
      </c>
      <c r="C199" s="71">
        <f t="shared" si="5"/>
        <v>40146</v>
      </c>
      <c r="D199" s="72">
        <v>146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3"/>
      <c r="S199" s="3"/>
      <c r="T199" s="3"/>
      <c r="U199" s="3"/>
      <c r="V199" s="3"/>
      <c r="W199" s="5" t="str">
        <f>IF($D199="","",VLOOKUP($B199,メインシート!$B$13:$D$18,2,0))</f>
        <v>山形</v>
      </c>
      <c r="X199" s="5"/>
    </row>
    <row r="200" spans="1:27" x14ac:dyDescent="0.15">
      <c r="A200" s="9">
        <v>197</v>
      </c>
      <c r="B200" s="5">
        <f t="shared" si="6"/>
        <v>4</v>
      </c>
      <c r="C200" s="71">
        <f t="shared" si="5"/>
        <v>40147</v>
      </c>
      <c r="D200" s="72">
        <v>147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3"/>
      <c r="S200" s="3"/>
      <c r="T200" s="3"/>
      <c r="U200" s="3"/>
      <c r="V200" s="3"/>
      <c r="W200" s="5" t="str">
        <f>IF($D200="","",VLOOKUP($B200,メインシート!$B$13:$D$18,2,0))</f>
        <v>山形</v>
      </c>
      <c r="X200" s="5"/>
      <c r="AA200" s="1" t="s">
        <v>2328</v>
      </c>
    </row>
    <row r="201" spans="1:27" x14ac:dyDescent="0.15">
      <c r="A201" s="9">
        <v>198</v>
      </c>
      <c r="B201" s="5">
        <f t="shared" si="6"/>
        <v>4</v>
      </c>
      <c r="C201" s="71">
        <f t="shared" si="5"/>
        <v>40148</v>
      </c>
      <c r="D201" s="72">
        <v>148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3"/>
      <c r="S201" s="3"/>
      <c r="T201" s="3"/>
      <c r="U201" s="3"/>
      <c r="V201" s="3"/>
      <c r="W201" s="5" t="str">
        <f>IF($D201="","",VLOOKUP($B201,メインシート!$B$13:$D$18,2,0))</f>
        <v>山形</v>
      </c>
      <c r="X201" s="5"/>
      <c r="AA201" s="1" t="s">
        <v>2326</v>
      </c>
    </row>
    <row r="202" spans="1:27" x14ac:dyDescent="0.15">
      <c r="A202" s="9">
        <v>199</v>
      </c>
      <c r="B202" s="5">
        <f t="shared" si="6"/>
        <v>4</v>
      </c>
      <c r="C202" s="71">
        <f t="shared" si="5"/>
        <v>40149</v>
      </c>
      <c r="D202" s="72">
        <v>149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3"/>
      <c r="S202" s="3"/>
      <c r="T202" s="3"/>
      <c r="U202" s="3"/>
      <c r="V202" s="3"/>
      <c r="W202" s="5" t="str">
        <f>IF($D202="","",VLOOKUP($B202,メインシート!$B$13:$D$18,2,0))</f>
        <v>山形</v>
      </c>
      <c r="X202" s="5"/>
      <c r="AA202" s="1" t="s">
        <v>2312</v>
      </c>
    </row>
    <row r="203" spans="1:27" x14ac:dyDescent="0.15">
      <c r="A203" s="9">
        <v>200</v>
      </c>
      <c r="B203" s="5">
        <f t="shared" si="6"/>
        <v>4</v>
      </c>
      <c r="C203" s="71">
        <f t="shared" si="5"/>
        <v>40150</v>
      </c>
      <c r="D203" s="72">
        <v>150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3"/>
      <c r="S203" s="3"/>
      <c r="T203" s="3"/>
      <c r="U203" s="3"/>
      <c r="V203" s="3"/>
      <c r="W203" s="5" t="str">
        <f>IF($D203="","",VLOOKUP($B203,メインシート!$B$13:$D$18,2,0))</f>
        <v>山形</v>
      </c>
      <c r="X203" s="5"/>
      <c r="AA203" s="1" t="s">
        <v>2299</v>
      </c>
    </row>
    <row r="204" spans="1:27" hidden="1" outlineLevel="1" x14ac:dyDescent="0.15">
      <c r="A204" s="9">
        <v>201</v>
      </c>
      <c r="B204" s="71">
        <v>5</v>
      </c>
      <c r="C204" s="71">
        <f t="shared" si="5"/>
        <v>50101</v>
      </c>
      <c r="D204" s="72">
        <v>101</v>
      </c>
      <c r="E204" s="4" t="s">
        <v>2373</v>
      </c>
      <c r="F204" s="4" t="s">
        <v>2396</v>
      </c>
      <c r="G204" s="4" t="s">
        <v>2420</v>
      </c>
      <c r="H204" s="4" t="s">
        <v>2443</v>
      </c>
      <c r="I204" s="4"/>
      <c r="J204" s="4"/>
      <c r="K204" s="4"/>
      <c r="L204" s="4"/>
      <c r="M204" s="4"/>
      <c r="N204" s="4"/>
      <c r="O204" s="4"/>
      <c r="P204" s="4"/>
      <c r="Q204" s="4"/>
      <c r="R204" s="3"/>
      <c r="S204" s="3" t="s">
        <v>2520</v>
      </c>
      <c r="T204" s="3" t="s">
        <v>2521</v>
      </c>
      <c r="U204" s="3">
        <v>9811233</v>
      </c>
      <c r="V204" s="3" t="s">
        <v>2519</v>
      </c>
      <c r="W204" s="5" t="str">
        <f>IF($D204="","",VLOOKUP($B204,メインシート!$B$13:$D$18,2,0))</f>
        <v>宮城</v>
      </c>
      <c r="X204" s="5"/>
      <c r="Z204" s="1" t="s">
        <v>2300</v>
      </c>
      <c r="AA204" s="1" t="s">
        <v>2301</v>
      </c>
    </row>
    <row r="205" spans="1:27" hidden="1" outlineLevel="1" x14ac:dyDescent="0.15">
      <c r="A205" s="9">
        <v>202</v>
      </c>
      <c r="B205" s="5">
        <f t="shared" ref="B205:B268" si="7">B204</f>
        <v>5</v>
      </c>
      <c r="C205" s="71">
        <f t="shared" si="5"/>
        <v>50102</v>
      </c>
      <c r="D205" s="72">
        <v>102</v>
      </c>
      <c r="E205" s="4" t="s">
        <v>2366</v>
      </c>
      <c r="F205" s="4" t="s">
        <v>2388</v>
      </c>
      <c r="G205" s="4" t="s">
        <v>2413</v>
      </c>
      <c r="H205" s="4" t="s">
        <v>2436</v>
      </c>
      <c r="I205" s="4"/>
      <c r="J205" s="4"/>
      <c r="K205" s="4"/>
      <c r="L205" s="4"/>
      <c r="M205" s="4"/>
      <c r="N205" s="4"/>
      <c r="O205" s="4"/>
      <c r="P205" s="4"/>
      <c r="Q205" s="4"/>
      <c r="R205" s="3"/>
      <c r="S205" s="3" t="s">
        <v>2493</v>
      </c>
      <c r="T205" s="3" t="s">
        <v>2494</v>
      </c>
      <c r="U205" s="3" t="s">
        <v>2491</v>
      </c>
      <c r="V205" s="3" t="s">
        <v>2492</v>
      </c>
      <c r="W205" s="5" t="str">
        <f>IF($D205="","",VLOOKUP($B205,メインシート!$B$13:$D$18,2,0))</f>
        <v>宮城</v>
      </c>
      <c r="X205" s="5"/>
      <c r="Z205" s="1" t="s">
        <v>2288</v>
      </c>
      <c r="AA205" s="1" t="s">
        <v>2289</v>
      </c>
    </row>
    <row r="206" spans="1:27" hidden="1" outlineLevel="1" x14ac:dyDescent="0.15">
      <c r="A206" s="9">
        <v>203</v>
      </c>
      <c r="B206" s="5">
        <f t="shared" si="7"/>
        <v>5</v>
      </c>
      <c r="C206" s="71">
        <f t="shared" si="5"/>
        <v>50103</v>
      </c>
      <c r="D206" s="72">
        <v>103</v>
      </c>
      <c r="E206" s="4" t="s">
        <v>2355</v>
      </c>
      <c r="F206" s="4" t="s">
        <v>2378</v>
      </c>
      <c r="G206" s="4" t="s">
        <v>2401</v>
      </c>
      <c r="H206" s="4" t="s">
        <v>2425</v>
      </c>
      <c r="I206" s="4"/>
      <c r="J206" s="4"/>
      <c r="K206" s="4"/>
      <c r="L206" s="4"/>
      <c r="M206" s="4"/>
      <c r="N206" s="4"/>
      <c r="O206" s="4"/>
      <c r="P206" s="4"/>
      <c r="Q206" s="4"/>
      <c r="R206" s="3"/>
      <c r="S206" s="3" t="s">
        <v>2450</v>
      </c>
      <c r="T206" s="3" t="s">
        <v>2451</v>
      </c>
      <c r="U206" s="3" t="s">
        <v>2448</v>
      </c>
      <c r="V206" s="3" t="s">
        <v>2449</v>
      </c>
      <c r="W206" s="5" t="str">
        <f>IF($D206="","",VLOOKUP($B206,メインシート!$B$13:$D$18,2,0))</f>
        <v>宮城</v>
      </c>
      <c r="X206" s="5"/>
      <c r="Z206" s="1" t="s">
        <v>2327</v>
      </c>
      <c r="AA206" s="1" t="s">
        <v>2328</v>
      </c>
    </row>
    <row r="207" spans="1:27" hidden="1" outlineLevel="1" x14ac:dyDescent="0.15">
      <c r="A207" s="9">
        <v>204</v>
      </c>
      <c r="B207" s="5">
        <f t="shared" si="7"/>
        <v>5</v>
      </c>
      <c r="C207" s="71">
        <f t="shared" si="5"/>
        <v>50104</v>
      </c>
      <c r="D207" s="72">
        <v>104</v>
      </c>
      <c r="E207" s="4" t="s">
        <v>2377</v>
      </c>
      <c r="F207" s="4" t="s">
        <v>2400</v>
      </c>
      <c r="G207" s="4" t="s">
        <v>2424</v>
      </c>
      <c r="H207" s="4" t="s">
        <v>2447</v>
      </c>
      <c r="I207" s="4"/>
      <c r="J207" s="4"/>
      <c r="K207" s="4"/>
      <c r="L207" s="4"/>
      <c r="M207" s="4"/>
      <c r="N207" s="4"/>
      <c r="O207" s="4"/>
      <c r="P207" s="4"/>
      <c r="Q207" s="4"/>
      <c r="R207" s="3"/>
      <c r="S207" s="3" t="s">
        <v>2536</v>
      </c>
      <c r="T207" s="3" t="s">
        <v>2537</v>
      </c>
      <c r="U207" s="3" t="s">
        <v>2534</v>
      </c>
      <c r="V207" s="3" t="s">
        <v>2535</v>
      </c>
      <c r="W207" s="5" t="str">
        <f>IF($D207="","",VLOOKUP($B207,メインシート!$B$13:$D$18,2,0))</f>
        <v>宮城</v>
      </c>
      <c r="X207" s="5"/>
      <c r="Z207" s="1" t="s">
        <v>2343</v>
      </c>
      <c r="AA207" s="1" t="s">
        <v>2344</v>
      </c>
    </row>
    <row r="208" spans="1:27" hidden="1" outlineLevel="1" x14ac:dyDescent="0.15">
      <c r="A208" s="9">
        <v>205</v>
      </c>
      <c r="B208" s="5">
        <f t="shared" si="7"/>
        <v>5</v>
      </c>
      <c r="C208" s="71">
        <f t="shared" si="5"/>
        <v>50105</v>
      </c>
      <c r="D208" s="72">
        <v>105</v>
      </c>
      <c r="E208" s="4" t="s">
        <v>2213</v>
      </c>
      <c r="F208" s="4" t="s">
        <v>2214</v>
      </c>
      <c r="G208" s="4" t="s">
        <v>2215</v>
      </c>
      <c r="H208" s="4" t="s">
        <v>2216</v>
      </c>
      <c r="I208" s="4"/>
      <c r="J208" s="4"/>
      <c r="K208" s="4"/>
      <c r="L208" s="4"/>
      <c r="M208" s="4"/>
      <c r="N208" s="4"/>
      <c r="O208" s="4"/>
      <c r="P208" s="4"/>
      <c r="Q208" s="4"/>
      <c r="R208" s="125"/>
      <c r="S208" s="125" t="s">
        <v>2217</v>
      </c>
      <c r="T208" s="125" t="s">
        <v>2218</v>
      </c>
      <c r="U208" s="125" t="s">
        <v>2219</v>
      </c>
      <c r="V208" s="125" t="s">
        <v>2351</v>
      </c>
      <c r="W208" s="5" t="str">
        <f>IF($D208="","",VLOOKUP($B208,メインシート!$B$13:$D$18,2,0))</f>
        <v>宮城</v>
      </c>
      <c r="X208" s="5"/>
      <c r="Z208" s="1" t="s">
        <v>2333</v>
      </c>
      <c r="AA208" s="1" t="s">
        <v>2334</v>
      </c>
    </row>
    <row r="209" spans="1:27" hidden="1" outlineLevel="1" x14ac:dyDescent="0.15">
      <c r="A209" s="9">
        <v>206</v>
      </c>
      <c r="B209" s="5">
        <f t="shared" si="7"/>
        <v>5</v>
      </c>
      <c r="C209" s="71">
        <f t="shared" si="5"/>
        <v>50106</v>
      </c>
      <c r="D209" s="72">
        <v>106</v>
      </c>
      <c r="E209" s="4" t="s">
        <v>2374</v>
      </c>
      <c r="F209" s="4" t="s">
        <v>2397</v>
      </c>
      <c r="G209" s="4" t="s">
        <v>2421</v>
      </c>
      <c r="H209" s="4" t="s">
        <v>2444</v>
      </c>
      <c r="I209" s="4"/>
      <c r="J209" s="4"/>
      <c r="K209" s="4"/>
      <c r="L209" s="4"/>
      <c r="M209" s="4"/>
      <c r="N209" s="4"/>
      <c r="O209" s="4"/>
      <c r="P209" s="4"/>
      <c r="Q209" s="4"/>
      <c r="R209" s="3"/>
      <c r="S209" s="3" t="s">
        <v>2524</v>
      </c>
      <c r="T209" s="3" t="s">
        <v>2525</v>
      </c>
      <c r="U209" s="3" t="s">
        <v>2522</v>
      </c>
      <c r="V209" s="3" t="s">
        <v>2523</v>
      </c>
      <c r="W209" s="5" t="str">
        <f>IF($D209="","",VLOOKUP($B209,メインシート!$B$13:$D$18,2,0))</f>
        <v>宮城</v>
      </c>
      <c r="X209" s="5"/>
      <c r="Z209" s="1" t="s">
        <v>2345</v>
      </c>
      <c r="AA209" s="1" t="s">
        <v>2346</v>
      </c>
    </row>
    <row r="210" spans="1:27" hidden="1" outlineLevel="1" x14ac:dyDescent="0.15">
      <c r="A210" s="9">
        <v>207</v>
      </c>
      <c r="B210" s="5">
        <f t="shared" si="7"/>
        <v>5</v>
      </c>
      <c r="C210" s="71">
        <f t="shared" si="5"/>
        <v>50107</v>
      </c>
      <c r="D210" s="72">
        <v>107</v>
      </c>
      <c r="E210" s="4" t="s">
        <v>2364</v>
      </c>
      <c r="F210" s="4" t="s">
        <v>2386</v>
      </c>
      <c r="G210" s="4" t="s">
        <v>2411</v>
      </c>
      <c r="H210" s="4" t="s">
        <v>2434</v>
      </c>
      <c r="I210" s="4"/>
      <c r="J210" s="4"/>
      <c r="K210" s="4"/>
      <c r="L210" s="4"/>
      <c r="M210" s="4"/>
      <c r="N210" s="4"/>
      <c r="O210" s="4"/>
      <c r="P210" s="4"/>
      <c r="Q210" s="4"/>
      <c r="R210" s="3"/>
      <c r="S210" s="3" t="s">
        <v>2485</v>
      </c>
      <c r="T210" s="3" t="s">
        <v>2486</v>
      </c>
      <c r="U210" s="3" t="s">
        <v>2181</v>
      </c>
      <c r="V210" s="3" t="s">
        <v>2484</v>
      </c>
      <c r="W210" s="5" t="str">
        <f>IF($D210="","",VLOOKUP($B210,メインシート!$B$13:$D$18,2,0))</f>
        <v>宮城</v>
      </c>
      <c r="X210" s="5"/>
      <c r="Z210" s="1" t="s">
        <v>2302</v>
      </c>
      <c r="AA210" s="1" t="s">
        <v>2303</v>
      </c>
    </row>
    <row r="211" spans="1:27" hidden="1" outlineLevel="1" x14ac:dyDescent="0.15">
      <c r="A211" s="9">
        <v>208</v>
      </c>
      <c r="B211" s="5">
        <f t="shared" si="7"/>
        <v>5</v>
      </c>
      <c r="C211" s="71">
        <f t="shared" si="5"/>
        <v>50108</v>
      </c>
      <c r="D211" s="72">
        <v>108</v>
      </c>
      <c r="E211" s="4" t="s">
        <v>2175</v>
      </c>
      <c r="F211" s="4" t="s">
        <v>2176</v>
      </c>
      <c r="G211" s="4" t="s">
        <v>2177</v>
      </c>
      <c r="H211" s="4" t="s">
        <v>2178</v>
      </c>
      <c r="I211" s="4"/>
      <c r="J211" s="4"/>
      <c r="K211" s="4"/>
      <c r="L211" s="4"/>
      <c r="M211" s="4"/>
      <c r="N211" s="4"/>
      <c r="O211" s="4"/>
      <c r="P211" s="4"/>
      <c r="Q211" s="4"/>
      <c r="R211" s="125"/>
      <c r="S211" s="125" t="s">
        <v>2179</v>
      </c>
      <c r="T211" s="125" t="s">
        <v>2180</v>
      </c>
      <c r="U211" s="125" t="s">
        <v>2181</v>
      </c>
      <c r="V211" s="125" t="s">
        <v>2182</v>
      </c>
      <c r="W211" s="5" t="str">
        <f>IF($D211="","",VLOOKUP($B211,メインシート!$B$13:$D$18,2,0))</f>
        <v>宮城</v>
      </c>
      <c r="X211" s="5"/>
    </row>
    <row r="212" spans="1:27" hidden="1" outlineLevel="1" x14ac:dyDescent="0.15">
      <c r="A212" s="9">
        <v>209</v>
      </c>
      <c r="B212" s="5">
        <f t="shared" si="7"/>
        <v>5</v>
      </c>
      <c r="C212" s="71">
        <f t="shared" si="5"/>
        <v>50109</v>
      </c>
      <c r="D212" s="72">
        <v>109</v>
      </c>
      <c r="E212" s="4" t="s">
        <v>2367</v>
      </c>
      <c r="F212" s="4" t="s">
        <v>2389</v>
      </c>
      <c r="G212" s="4" t="s">
        <v>2414</v>
      </c>
      <c r="H212" s="4" t="s">
        <v>2437</v>
      </c>
      <c r="I212" s="4"/>
      <c r="J212" s="4"/>
      <c r="K212" s="4"/>
      <c r="L212" s="4"/>
      <c r="M212" s="4"/>
      <c r="N212" s="4"/>
      <c r="O212" s="4"/>
      <c r="P212" s="4"/>
      <c r="Q212" s="4"/>
      <c r="R212" s="3"/>
      <c r="S212" s="3" t="s">
        <v>2497</v>
      </c>
      <c r="T212" s="3" t="s">
        <v>2498</v>
      </c>
      <c r="U212" s="3" t="s">
        <v>2495</v>
      </c>
      <c r="V212" s="3" t="s">
        <v>2496</v>
      </c>
      <c r="W212" s="5" t="str">
        <f>IF($D212="","",VLOOKUP($B212,メインシート!$B$13:$D$18,2,0))</f>
        <v>宮城</v>
      </c>
      <c r="X212" s="5"/>
      <c r="Z212" s="1" t="s">
        <v>2339</v>
      </c>
      <c r="AA212" s="1" t="s">
        <v>2340</v>
      </c>
    </row>
    <row r="213" spans="1:27" hidden="1" outlineLevel="1" x14ac:dyDescent="0.15">
      <c r="A213" s="9">
        <v>210</v>
      </c>
      <c r="B213" s="5">
        <f t="shared" si="7"/>
        <v>5</v>
      </c>
      <c r="C213" s="71">
        <f t="shared" si="5"/>
        <v>50110</v>
      </c>
      <c r="D213" s="72">
        <v>110</v>
      </c>
      <c r="E213" s="4" t="s">
        <v>2371</v>
      </c>
      <c r="F213" s="4" t="s">
        <v>2393</v>
      </c>
      <c r="G213" s="4" t="s">
        <v>2418</v>
      </c>
      <c r="H213" s="4" t="s">
        <v>2441</v>
      </c>
      <c r="I213" s="4"/>
      <c r="J213" s="4"/>
      <c r="K213" s="4"/>
      <c r="L213" s="4"/>
      <c r="M213" s="4"/>
      <c r="N213" s="4"/>
      <c r="O213" s="4"/>
      <c r="P213" s="4"/>
      <c r="Q213" s="4"/>
      <c r="R213" s="3"/>
      <c r="S213" s="3" t="s">
        <v>2513</v>
      </c>
      <c r="T213" s="3" t="s">
        <v>2514</v>
      </c>
      <c r="U213" s="3" t="s">
        <v>2511</v>
      </c>
      <c r="V213" s="3" t="s">
        <v>2512</v>
      </c>
      <c r="W213" s="5" t="str">
        <f>IF($D213="","",VLOOKUP($B213,メインシート!$B$13:$D$18,2,0))</f>
        <v>宮城</v>
      </c>
      <c r="X213" s="5"/>
      <c r="Z213" s="1" t="s">
        <v>2331</v>
      </c>
      <c r="AA213" s="1" t="s">
        <v>2332</v>
      </c>
    </row>
    <row r="214" spans="1:27" hidden="1" outlineLevel="1" x14ac:dyDescent="0.15">
      <c r="A214" s="9">
        <v>211</v>
      </c>
      <c r="B214" s="5">
        <f t="shared" si="7"/>
        <v>5</v>
      </c>
      <c r="C214" s="71">
        <f t="shared" si="5"/>
        <v>50111</v>
      </c>
      <c r="D214" s="72">
        <v>111</v>
      </c>
      <c r="E214" s="4" t="s">
        <v>2363</v>
      </c>
      <c r="F214" s="4" t="s">
        <v>2385</v>
      </c>
      <c r="G214" s="4" t="s">
        <v>2410</v>
      </c>
      <c r="H214" s="4" t="s">
        <v>2433</v>
      </c>
      <c r="I214" s="4"/>
      <c r="J214" s="4"/>
      <c r="K214" s="4"/>
      <c r="L214" s="4"/>
      <c r="M214" s="4"/>
      <c r="N214" s="4"/>
      <c r="O214" s="4"/>
      <c r="P214" s="4"/>
      <c r="Q214" s="4"/>
      <c r="R214" s="3"/>
      <c r="S214" s="3" t="s">
        <v>2482</v>
      </c>
      <c r="T214" s="3" t="s">
        <v>2483</v>
      </c>
      <c r="U214" s="3" t="s">
        <v>2480</v>
      </c>
      <c r="V214" s="3" t="s">
        <v>2481</v>
      </c>
      <c r="W214" s="5" t="str">
        <f>IF($D214="","",VLOOKUP($B214,メインシート!$B$13:$D$18,2,0))</f>
        <v>宮城</v>
      </c>
      <c r="X214" s="5"/>
      <c r="Z214" s="1" t="s">
        <v>2308</v>
      </c>
      <c r="AA214" s="1" t="s">
        <v>2309</v>
      </c>
    </row>
    <row r="215" spans="1:27" hidden="1" outlineLevel="1" x14ac:dyDescent="0.15">
      <c r="A215" s="9">
        <v>212</v>
      </c>
      <c r="B215" s="5">
        <f t="shared" si="7"/>
        <v>5</v>
      </c>
      <c r="C215" s="71">
        <f t="shared" si="5"/>
        <v>50112</v>
      </c>
      <c r="D215" s="72">
        <v>112</v>
      </c>
      <c r="E215" s="4" t="s">
        <v>2145</v>
      </c>
      <c r="F215" s="4" t="s">
        <v>2146</v>
      </c>
      <c r="G215" s="4" t="s">
        <v>2147</v>
      </c>
      <c r="H215" s="4" t="s">
        <v>2148</v>
      </c>
      <c r="I215" s="4"/>
      <c r="J215" s="4"/>
      <c r="K215" s="4"/>
      <c r="L215" s="4"/>
      <c r="M215" s="4"/>
      <c r="N215" s="4"/>
      <c r="O215" s="4"/>
      <c r="P215" s="4"/>
      <c r="Q215" s="4"/>
      <c r="R215" s="125"/>
      <c r="S215" s="125" t="s">
        <v>2149</v>
      </c>
      <c r="T215" s="125" t="s">
        <v>2149</v>
      </c>
      <c r="U215" s="125" t="s">
        <v>2150</v>
      </c>
      <c r="V215" s="125" t="s">
        <v>2151</v>
      </c>
      <c r="W215" s="5" t="str">
        <f>IF($D215="","",VLOOKUP($B215,メインシート!$B$13:$D$18,2,0))</f>
        <v>宮城</v>
      </c>
      <c r="X215" s="5"/>
    </row>
    <row r="216" spans="1:27" hidden="1" outlineLevel="1" x14ac:dyDescent="0.15">
      <c r="A216" s="9">
        <v>213</v>
      </c>
      <c r="B216" s="5">
        <f t="shared" si="7"/>
        <v>5</v>
      </c>
      <c r="C216" s="71">
        <f t="shared" si="5"/>
        <v>50113</v>
      </c>
      <c r="D216" s="72">
        <v>113</v>
      </c>
      <c r="E216" s="4" t="s">
        <v>2082</v>
      </c>
      <c r="F216" s="4" t="s">
        <v>2083</v>
      </c>
      <c r="G216" s="4" t="s">
        <v>2084</v>
      </c>
      <c r="H216" s="4" t="s">
        <v>2085</v>
      </c>
      <c r="I216" s="4"/>
      <c r="J216" s="4"/>
      <c r="K216" s="4"/>
      <c r="L216" s="4"/>
      <c r="M216" s="4"/>
      <c r="N216" s="4"/>
      <c r="O216" s="4"/>
      <c r="P216" s="4"/>
      <c r="Q216" s="4"/>
      <c r="R216" s="125"/>
      <c r="S216" s="125" t="s">
        <v>2086</v>
      </c>
      <c r="T216" s="125" t="s">
        <v>2087</v>
      </c>
      <c r="U216" s="125" t="s">
        <v>2088</v>
      </c>
      <c r="V216" s="125" t="s">
        <v>2089</v>
      </c>
      <c r="W216" s="5" t="str">
        <f>IF($D216="","",VLOOKUP($B216,メインシート!$B$13:$D$18,2,0))</f>
        <v>宮城</v>
      </c>
      <c r="X216" s="5"/>
    </row>
    <row r="217" spans="1:27" hidden="1" outlineLevel="1" x14ac:dyDescent="0.15">
      <c r="A217" s="9">
        <v>214</v>
      </c>
      <c r="B217" s="5">
        <f t="shared" si="7"/>
        <v>5</v>
      </c>
      <c r="C217" s="71">
        <f t="shared" si="5"/>
        <v>50114</v>
      </c>
      <c r="D217" s="72">
        <v>114</v>
      </c>
      <c r="E217" s="4" t="s">
        <v>2098</v>
      </c>
      <c r="F217" s="4" t="s">
        <v>2099</v>
      </c>
      <c r="G217" s="4" t="s">
        <v>2100</v>
      </c>
      <c r="H217" s="4" t="s">
        <v>2101</v>
      </c>
      <c r="I217" s="4"/>
      <c r="J217" s="4"/>
      <c r="K217" s="4"/>
      <c r="L217" s="4"/>
      <c r="M217" s="4"/>
      <c r="N217" s="4"/>
      <c r="O217" s="4"/>
      <c r="P217" s="4"/>
      <c r="Q217" s="4"/>
      <c r="R217" s="125"/>
      <c r="S217" s="125" t="s">
        <v>2102</v>
      </c>
      <c r="T217" s="125" t="s">
        <v>2103</v>
      </c>
      <c r="U217" s="125" t="s">
        <v>2104</v>
      </c>
      <c r="V217" s="125" t="s">
        <v>2105</v>
      </c>
      <c r="W217" s="5" t="str">
        <f>IF($D217="","",VLOOKUP($B217,メインシート!$B$13:$D$18,2,0))</f>
        <v>宮城</v>
      </c>
      <c r="X217" s="5"/>
    </row>
    <row r="218" spans="1:27" hidden="1" outlineLevel="1" x14ac:dyDescent="0.15">
      <c r="A218" s="9">
        <v>215</v>
      </c>
      <c r="B218" s="5">
        <f t="shared" si="7"/>
        <v>5</v>
      </c>
      <c r="C218" s="71">
        <f t="shared" si="5"/>
        <v>50115</v>
      </c>
      <c r="D218" s="72">
        <v>115</v>
      </c>
      <c r="E218" s="4" t="s">
        <v>2090</v>
      </c>
      <c r="F218" s="4" t="s">
        <v>2091</v>
      </c>
      <c r="G218" s="4" t="s">
        <v>2092</v>
      </c>
      <c r="H218" s="4" t="s">
        <v>2093</v>
      </c>
      <c r="I218" s="4"/>
      <c r="J218" s="4"/>
      <c r="K218" s="4"/>
      <c r="L218" s="4"/>
      <c r="M218" s="4"/>
      <c r="N218" s="4"/>
      <c r="O218" s="4"/>
      <c r="P218" s="4"/>
      <c r="Q218" s="4"/>
      <c r="R218" s="125"/>
      <c r="S218" s="125" t="s">
        <v>2094</v>
      </c>
      <c r="T218" s="125" t="s">
        <v>2095</v>
      </c>
      <c r="U218" s="125" t="s">
        <v>2096</v>
      </c>
      <c r="V218" s="125" t="s">
        <v>2097</v>
      </c>
      <c r="W218" s="5" t="str">
        <f>IF($D218="","",VLOOKUP($B218,メインシート!$B$13:$D$18,2,0))</f>
        <v>宮城</v>
      </c>
      <c r="X218" s="5"/>
    </row>
    <row r="219" spans="1:27" hidden="1" outlineLevel="1" x14ac:dyDescent="0.15">
      <c r="A219" s="9">
        <v>216</v>
      </c>
      <c r="B219" s="5">
        <f t="shared" si="7"/>
        <v>5</v>
      </c>
      <c r="C219" s="71">
        <f t="shared" si="5"/>
        <v>50116</v>
      </c>
      <c r="D219" s="72">
        <v>116</v>
      </c>
      <c r="E219" s="4" t="s">
        <v>2368</v>
      </c>
      <c r="F219" s="4" t="s">
        <v>2390</v>
      </c>
      <c r="G219" s="4" t="s">
        <v>2415</v>
      </c>
      <c r="H219" s="4" t="s">
        <v>2438</v>
      </c>
      <c r="I219" s="4"/>
      <c r="J219" s="4"/>
      <c r="K219" s="4"/>
      <c r="L219" s="4"/>
      <c r="M219" s="4"/>
      <c r="N219" s="4"/>
      <c r="O219" s="4"/>
      <c r="P219" s="4"/>
      <c r="Q219" s="4"/>
      <c r="R219" s="3"/>
      <c r="S219" s="3" t="s">
        <v>2501</v>
      </c>
      <c r="T219" s="3" t="s">
        <v>2502</v>
      </c>
      <c r="U219" s="3" t="s">
        <v>2499</v>
      </c>
      <c r="V219" s="3" t="s">
        <v>2500</v>
      </c>
      <c r="W219" s="5" t="str">
        <f>IF($D219="","",VLOOKUP($B219,メインシート!$B$13:$D$18,2,0))</f>
        <v>宮城</v>
      </c>
      <c r="X219" s="5"/>
      <c r="Z219" s="1" t="s">
        <v>2313</v>
      </c>
      <c r="AA219" s="1" t="s">
        <v>2314</v>
      </c>
    </row>
    <row r="220" spans="1:27" hidden="1" outlineLevel="1" x14ac:dyDescent="0.15">
      <c r="A220" s="9">
        <v>217</v>
      </c>
      <c r="B220" s="5">
        <f t="shared" si="7"/>
        <v>5</v>
      </c>
      <c r="C220" s="71">
        <f t="shared" si="5"/>
        <v>50117</v>
      </c>
      <c r="D220" s="72">
        <v>117</v>
      </c>
      <c r="E220" s="4" t="s">
        <v>2074</v>
      </c>
      <c r="F220" s="4" t="s">
        <v>2075</v>
      </c>
      <c r="G220" s="4" t="s">
        <v>2076</v>
      </c>
      <c r="H220" s="4" t="s">
        <v>2077</v>
      </c>
      <c r="I220" s="4"/>
      <c r="J220" s="4"/>
      <c r="K220" s="4"/>
      <c r="L220" s="4"/>
      <c r="M220" s="4"/>
      <c r="N220" s="4"/>
      <c r="O220" s="4"/>
      <c r="P220" s="4"/>
      <c r="Q220" s="4"/>
      <c r="R220" s="125"/>
      <c r="S220" s="126" t="s">
        <v>2078</v>
      </c>
      <c r="T220" s="126" t="s">
        <v>2079</v>
      </c>
      <c r="U220" s="125" t="s">
        <v>2080</v>
      </c>
      <c r="V220" s="125" t="s">
        <v>2081</v>
      </c>
      <c r="W220" s="5" t="str">
        <f>IF($D220="","",VLOOKUP($B220,メインシート!$B$13:$D$18,2,0))</f>
        <v>宮城</v>
      </c>
      <c r="X220" s="5"/>
      <c r="Z220" s="1" t="s">
        <v>2315</v>
      </c>
      <c r="AA220" s="1" t="s">
        <v>2316</v>
      </c>
    </row>
    <row r="221" spans="1:27" hidden="1" outlineLevel="1" x14ac:dyDescent="0.15">
      <c r="A221" s="9">
        <v>218</v>
      </c>
      <c r="B221" s="5">
        <f t="shared" si="7"/>
        <v>5</v>
      </c>
      <c r="C221" s="71">
        <f t="shared" si="5"/>
        <v>50118</v>
      </c>
      <c r="D221" s="72">
        <v>118</v>
      </c>
      <c r="E221" s="4" t="s">
        <v>2160</v>
      </c>
      <c r="F221" s="4" t="s">
        <v>2160</v>
      </c>
      <c r="G221" s="4" t="s">
        <v>2161</v>
      </c>
      <c r="H221" s="4" t="s">
        <v>2162</v>
      </c>
      <c r="I221" s="4"/>
      <c r="J221" s="4"/>
      <c r="K221" s="4"/>
      <c r="L221" s="4"/>
      <c r="M221" s="4"/>
      <c r="N221" s="4"/>
      <c r="O221" s="4"/>
      <c r="P221" s="4"/>
      <c r="Q221" s="4"/>
      <c r="R221" s="125"/>
      <c r="S221" s="125" t="s">
        <v>2163</v>
      </c>
      <c r="T221" s="125" t="s">
        <v>2164</v>
      </c>
      <c r="U221" s="125" t="s">
        <v>2165</v>
      </c>
      <c r="V221" s="125" t="s">
        <v>2166</v>
      </c>
      <c r="W221" s="5" t="str">
        <f>IF($D221="","",VLOOKUP($B221,メインシート!$B$13:$D$18,2,0))</f>
        <v>宮城</v>
      </c>
      <c r="X221" s="5"/>
    </row>
    <row r="222" spans="1:27" hidden="1" outlineLevel="1" x14ac:dyDescent="0.15">
      <c r="A222" s="9">
        <v>219</v>
      </c>
      <c r="B222" s="5">
        <f t="shared" si="7"/>
        <v>5</v>
      </c>
      <c r="C222" s="71">
        <f t="shared" si="5"/>
        <v>50119</v>
      </c>
      <c r="D222" s="72">
        <v>119</v>
      </c>
      <c r="E222" s="4" t="s">
        <v>2167</v>
      </c>
      <c r="F222" s="4" t="s">
        <v>2168</v>
      </c>
      <c r="G222" s="4" t="s">
        <v>2169</v>
      </c>
      <c r="H222" s="4" t="s">
        <v>2170</v>
      </c>
      <c r="I222" s="4"/>
      <c r="J222" s="4"/>
      <c r="K222" s="4"/>
      <c r="L222" s="4"/>
      <c r="M222" s="4"/>
      <c r="N222" s="4"/>
      <c r="O222" s="4"/>
      <c r="P222" s="4"/>
      <c r="Q222" s="4"/>
      <c r="R222" s="125"/>
      <c r="S222" s="125" t="s">
        <v>2171</v>
      </c>
      <c r="T222" s="125" t="s">
        <v>2172</v>
      </c>
      <c r="U222" s="125" t="s">
        <v>2173</v>
      </c>
      <c r="V222" s="125" t="s">
        <v>2174</v>
      </c>
      <c r="W222" s="5" t="str">
        <f>IF($D222="","",VLOOKUP($B222,メインシート!$B$13:$D$18,2,0))</f>
        <v>宮城</v>
      </c>
      <c r="X222" s="5"/>
    </row>
    <row r="223" spans="1:27" hidden="1" outlineLevel="1" x14ac:dyDescent="0.15">
      <c r="A223" s="9">
        <v>220</v>
      </c>
      <c r="B223" s="5">
        <f t="shared" si="7"/>
        <v>5</v>
      </c>
      <c r="C223" s="71">
        <f t="shared" si="5"/>
        <v>50120</v>
      </c>
      <c r="D223" s="72">
        <v>120</v>
      </c>
      <c r="E223" s="4" t="s">
        <v>2365</v>
      </c>
      <c r="F223" s="4" t="s">
        <v>2387</v>
      </c>
      <c r="G223" s="4" t="s">
        <v>2412</v>
      </c>
      <c r="H223" s="4" t="s">
        <v>2435</v>
      </c>
      <c r="I223" s="4"/>
      <c r="J223" s="4"/>
      <c r="K223" s="4"/>
      <c r="L223" s="4"/>
      <c r="M223" s="4"/>
      <c r="N223" s="4"/>
      <c r="O223" s="4"/>
      <c r="P223" s="4"/>
      <c r="Q223" s="4"/>
      <c r="R223" s="3"/>
      <c r="S223" s="3" t="s">
        <v>2489</v>
      </c>
      <c r="T223" s="3" t="s">
        <v>2490</v>
      </c>
      <c r="U223" s="3" t="s">
        <v>2487</v>
      </c>
      <c r="V223" s="3" t="s">
        <v>2488</v>
      </c>
      <c r="W223" s="5" t="str">
        <f>IF($D223="","",VLOOKUP($B223,メインシート!$B$13:$D$18,2,0))</f>
        <v>宮城</v>
      </c>
      <c r="X223" s="5"/>
      <c r="Z223" s="1" t="s">
        <v>2321</v>
      </c>
      <c r="AA223" s="1" t="s">
        <v>2322</v>
      </c>
    </row>
    <row r="224" spans="1:27" hidden="1" outlineLevel="1" x14ac:dyDescent="0.15">
      <c r="A224" s="9">
        <v>221</v>
      </c>
      <c r="B224" s="5">
        <f t="shared" si="7"/>
        <v>5</v>
      </c>
      <c r="C224" s="71">
        <f t="shared" si="5"/>
        <v>50121</v>
      </c>
      <c r="D224" s="72">
        <v>121</v>
      </c>
      <c r="E224" s="4" t="s">
        <v>2370</v>
      </c>
      <c r="F224" s="4" t="s">
        <v>2392</v>
      </c>
      <c r="G224" s="4" t="s">
        <v>2417</v>
      </c>
      <c r="H224" s="4" t="s">
        <v>2440</v>
      </c>
      <c r="I224" s="4"/>
      <c r="J224" s="4"/>
      <c r="K224" s="4"/>
      <c r="L224" s="4"/>
      <c r="M224" s="4"/>
      <c r="N224" s="4"/>
      <c r="O224" s="4"/>
      <c r="P224" s="4"/>
      <c r="Q224" s="4"/>
      <c r="R224" s="3"/>
      <c r="S224" s="3" t="s">
        <v>2509</v>
      </c>
      <c r="T224" s="3" t="s">
        <v>2510</v>
      </c>
      <c r="U224" s="3" t="s">
        <v>2507</v>
      </c>
      <c r="V224" s="3" t="s">
        <v>2508</v>
      </c>
      <c r="W224" s="5" t="str">
        <f>IF($D224="","",VLOOKUP($B224,メインシート!$B$13:$D$18,2,0))</f>
        <v>宮城</v>
      </c>
      <c r="X224" s="5"/>
      <c r="Z224" s="1" t="s">
        <v>2319</v>
      </c>
      <c r="AA224" s="1" t="s">
        <v>2320</v>
      </c>
    </row>
    <row r="225" spans="1:27" hidden="1" outlineLevel="1" x14ac:dyDescent="0.15">
      <c r="A225" s="9">
        <v>222</v>
      </c>
      <c r="B225" s="5">
        <f t="shared" si="7"/>
        <v>5</v>
      </c>
      <c r="C225" s="71">
        <f t="shared" si="5"/>
        <v>50122</v>
      </c>
      <c r="D225" s="72">
        <v>122</v>
      </c>
      <c r="E225" s="4" t="s">
        <v>2198</v>
      </c>
      <c r="F225" s="4" t="s">
        <v>2199</v>
      </c>
      <c r="G225" s="4" t="s">
        <v>2200</v>
      </c>
      <c r="H225" s="4" t="s">
        <v>2201</v>
      </c>
      <c r="I225" s="4"/>
      <c r="J225" s="4"/>
      <c r="K225" s="4"/>
      <c r="L225" s="4"/>
      <c r="M225" s="4"/>
      <c r="N225" s="4"/>
      <c r="O225" s="4"/>
      <c r="P225" s="4"/>
      <c r="Q225" s="4"/>
      <c r="R225" s="125"/>
      <c r="S225" s="125" t="s">
        <v>2202</v>
      </c>
      <c r="T225" s="125" t="s">
        <v>2203</v>
      </c>
      <c r="U225" s="125" t="s">
        <v>2204</v>
      </c>
      <c r="V225" s="125" t="s">
        <v>2352</v>
      </c>
      <c r="W225" s="5" t="str">
        <f>IF($D225="","",VLOOKUP($B225,メインシート!$B$13:$D$18,2,0))</f>
        <v>宮城</v>
      </c>
      <c r="X225" s="5"/>
      <c r="Z225" s="1" t="s">
        <v>2395</v>
      </c>
      <c r="AA225" s="1" t="s">
        <v>2310</v>
      </c>
    </row>
    <row r="226" spans="1:27" hidden="1" outlineLevel="1" x14ac:dyDescent="0.15">
      <c r="A226" s="9">
        <v>223</v>
      </c>
      <c r="B226" s="5">
        <f t="shared" si="7"/>
        <v>5</v>
      </c>
      <c r="C226" s="71">
        <f t="shared" si="5"/>
        <v>50123</v>
      </c>
      <c r="D226" s="72">
        <v>123</v>
      </c>
      <c r="E226" s="4" t="s">
        <v>2376</v>
      </c>
      <c r="F226" s="4" t="s">
        <v>2399</v>
      </c>
      <c r="G226" s="4" t="s">
        <v>2423</v>
      </c>
      <c r="H226" s="4" t="s">
        <v>2446</v>
      </c>
      <c r="I226" s="4"/>
      <c r="J226" s="4"/>
      <c r="K226" s="4"/>
      <c r="L226" s="4"/>
      <c r="M226" s="4"/>
      <c r="N226" s="4"/>
      <c r="O226" s="4"/>
      <c r="P226" s="4"/>
      <c r="Q226" s="4"/>
      <c r="R226" s="3"/>
      <c r="S226" s="3" t="s">
        <v>2532</v>
      </c>
      <c r="T226" s="3" t="s">
        <v>2533</v>
      </c>
      <c r="U226" s="3" t="s">
        <v>2530</v>
      </c>
      <c r="V226" s="3" t="s">
        <v>2531</v>
      </c>
      <c r="W226" s="5" t="str">
        <f>IF($D226="","",VLOOKUP($B226,メインシート!$B$13:$D$18,2,0))</f>
        <v>宮城</v>
      </c>
      <c r="X226" s="5"/>
      <c r="Z226" s="1" t="s">
        <v>2317</v>
      </c>
      <c r="AA226" s="1" t="s">
        <v>2318</v>
      </c>
    </row>
    <row r="227" spans="1:27" hidden="1" outlineLevel="1" x14ac:dyDescent="0.15">
      <c r="A227" s="9">
        <v>224</v>
      </c>
      <c r="B227" s="5">
        <f t="shared" si="7"/>
        <v>5</v>
      </c>
      <c r="C227" s="71">
        <f t="shared" si="5"/>
        <v>50124</v>
      </c>
      <c r="D227" s="72">
        <v>124</v>
      </c>
      <c r="E227" s="4" t="s">
        <v>2358</v>
      </c>
      <c r="F227" s="4" t="s">
        <v>2405</v>
      </c>
      <c r="G227" s="4" t="s">
        <v>2406</v>
      </c>
      <c r="H227" s="4" t="s">
        <v>2428</v>
      </c>
      <c r="I227" s="4"/>
      <c r="J227" s="4"/>
      <c r="K227" s="4"/>
      <c r="L227" s="4"/>
      <c r="M227" s="4"/>
      <c r="N227" s="4"/>
      <c r="O227" s="4"/>
      <c r="P227" s="4"/>
      <c r="Q227" s="4"/>
      <c r="R227" s="3"/>
      <c r="S227" s="3" t="s">
        <v>2462</v>
      </c>
      <c r="T227" s="3" t="s">
        <v>2463</v>
      </c>
      <c r="U227" s="3" t="s">
        <v>2460</v>
      </c>
      <c r="V227" s="3" t="s">
        <v>2461</v>
      </c>
      <c r="W227" s="5" t="str">
        <f>IF($D227="","",VLOOKUP($B227,メインシート!$B$13:$D$18,2,0))</f>
        <v>宮城</v>
      </c>
      <c r="X227" s="5"/>
      <c r="Z227" s="1" t="s">
        <v>2298</v>
      </c>
      <c r="AA227" s="1" t="s">
        <v>2299</v>
      </c>
    </row>
    <row r="228" spans="1:27" hidden="1" outlineLevel="1" x14ac:dyDescent="0.15">
      <c r="A228" s="9">
        <v>225</v>
      </c>
      <c r="B228" s="5">
        <f t="shared" si="7"/>
        <v>5</v>
      </c>
      <c r="C228" s="71">
        <f t="shared" si="5"/>
        <v>50125</v>
      </c>
      <c r="D228" s="72">
        <v>125</v>
      </c>
      <c r="E228" s="11" t="s">
        <v>2359</v>
      </c>
      <c r="F228" s="11" t="s">
        <v>2381</v>
      </c>
      <c r="G228" s="11" t="s">
        <v>2429</v>
      </c>
      <c r="H228" s="11" t="s">
        <v>2404</v>
      </c>
      <c r="I228" s="11"/>
      <c r="J228" s="11"/>
      <c r="K228" s="11"/>
      <c r="L228" s="11"/>
      <c r="M228" s="11"/>
      <c r="N228" s="11"/>
      <c r="O228" s="11"/>
      <c r="P228" s="11"/>
      <c r="Q228" s="11"/>
      <c r="R228" s="10"/>
      <c r="S228" s="10" t="s">
        <v>2466</v>
      </c>
      <c r="T228" s="10" t="s">
        <v>2467</v>
      </c>
      <c r="U228" s="10" t="s">
        <v>2464</v>
      </c>
      <c r="V228" s="10" t="s">
        <v>2465</v>
      </c>
      <c r="W228" s="5" t="str">
        <f>IF($D228="","",VLOOKUP($B228,メインシート!$B$13:$D$18,2,0))</f>
        <v>宮城</v>
      </c>
      <c r="X228" s="5"/>
      <c r="Z228" s="1" t="s">
        <v>2293</v>
      </c>
      <c r="AA228" s="1" t="s">
        <v>2294</v>
      </c>
    </row>
    <row r="229" spans="1:27" hidden="1" outlineLevel="1" x14ac:dyDescent="0.15">
      <c r="A229" s="9">
        <v>226</v>
      </c>
      <c r="B229" s="5">
        <f t="shared" si="7"/>
        <v>5</v>
      </c>
      <c r="C229" s="71">
        <f t="shared" si="5"/>
        <v>50126</v>
      </c>
      <c r="D229" s="72">
        <v>126</v>
      </c>
      <c r="E229" s="11" t="s">
        <v>2356</v>
      </c>
      <c r="F229" s="11" t="s">
        <v>2379</v>
      </c>
      <c r="G229" s="11" t="s">
        <v>2402</v>
      </c>
      <c r="H229" s="11" t="s">
        <v>2426</v>
      </c>
      <c r="I229" s="11"/>
      <c r="J229" s="11"/>
      <c r="K229" s="11"/>
      <c r="L229" s="11"/>
      <c r="M229" s="11"/>
      <c r="N229" s="11"/>
      <c r="O229" s="11"/>
      <c r="P229" s="11"/>
      <c r="Q229" s="11"/>
      <c r="R229" s="10"/>
      <c r="S229" s="10" t="s">
        <v>2454</v>
      </c>
      <c r="T229" s="10" t="s">
        <v>2455</v>
      </c>
      <c r="U229" s="10" t="s">
        <v>2452</v>
      </c>
      <c r="V229" s="10" t="s">
        <v>2453</v>
      </c>
      <c r="W229" s="5" t="str">
        <f>IF($D229="","",VLOOKUP($B229,メインシート!$B$13:$D$18,2,0))</f>
        <v>宮城</v>
      </c>
      <c r="X229" s="5"/>
      <c r="Z229" s="1" t="s">
        <v>2325</v>
      </c>
      <c r="AA229" s="1" t="s">
        <v>2326</v>
      </c>
    </row>
    <row r="230" spans="1:27" hidden="1" outlineLevel="1" x14ac:dyDescent="0.15">
      <c r="A230" s="9">
        <v>227</v>
      </c>
      <c r="B230" s="5">
        <f t="shared" si="7"/>
        <v>5</v>
      </c>
      <c r="C230" s="71">
        <f t="shared" si="5"/>
        <v>50127</v>
      </c>
      <c r="D230" s="72">
        <v>127</v>
      </c>
      <c r="E230" s="11" t="s">
        <v>2357</v>
      </c>
      <c r="F230" s="11" t="s">
        <v>2380</v>
      </c>
      <c r="G230" s="11" t="s">
        <v>2403</v>
      </c>
      <c r="H230" s="11" t="s">
        <v>2427</v>
      </c>
      <c r="I230" s="11"/>
      <c r="J230" s="11"/>
      <c r="K230" s="11"/>
      <c r="L230" s="11"/>
      <c r="M230" s="11"/>
      <c r="N230" s="11"/>
      <c r="O230" s="11"/>
      <c r="P230" s="11"/>
      <c r="Q230" s="11"/>
      <c r="R230" s="10"/>
      <c r="S230" s="10" t="s">
        <v>2458</v>
      </c>
      <c r="T230" s="10" t="s">
        <v>2459</v>
      </c>
      <c r="U230" s="10" t="s">
        <v>2456</v>
      </c>
      <c r="V230" s="10" t="s">
        <v>2457</v>
      </c>
      <c r="W230" s="5" t="str">
        <f>IF($D230="","",VLOOKUP($B230,メインシート!$B$13:$D$18,2,0))</f>
        <v>宮城</v>
      </c>
      <c r="X230" s="5"/>
      <c r="Z230" s="1" t="s">
        <v>2311</v>
      </c>
      <c r="AA230" s="1" t="s">
        <v>2312</v>
      </c>
    </row>
    <row r="231" spans="1:27" hidden="1" outlineLevel="1" x14ac:dyDescent="0.15">
      <c r="A231" s="9">
        <v>228</v>
      </c>
      <c r="B231" s="5">
        <f t="shared" si="7"/>
        <v>5</v>
      </c>
      <c r="C231" s="71">
        <f t="shared" si="5"/>
        <v>50128</v>
      </c>
      <c r="D231" s="72">
        <v>128</v>
      </c>
      <c r="E231" s="11" t="s">
        <v>2375</v>
      </c>
      <c r="F231" s="11" t="s">
        <v>2398</v>
      </c>
      <c r="G231" s="11" t="s">
        <v>2422</v>
      </c>
      <c r="H231" s="11" t="s">
        <v>2445</v>
      </c>
      <c r="I231" s="11"/>
      <c r="J231" s="11"/>
      <c r="K231" s="11"/>
      <c r="L231" s="11"/>
      <c r="M231" s="11"/>
      <c r="N231" s="11"/>
      <c r="O231" s="11"/>
      <c r="P231" s="11"/>
      <c r="Q231" s="11"/>
      <c r="R231" s="10"/>
      <c r="S231" s="10" t="s">
        <v>2528</v>
      </c>
      <c r="T231" s="10" t="s">
        <v>2529</v>
      </c>
      <c r="U231" s="10" t="s">
        <v>2526</v>
      </c>
      <c r="V231" s="10" t="s">
        <v>2527</v>
      </c>
      <c r="W231" s="5" t="str">
        <f>IF($D231="","",VLOOKUP($B231,メインシート!$B$13:$D$18,2,0))</f>
        <v>宮城</v>
      </c>
      <c r="X231" s="5"/>
      <c r="Z231" s="1" t="s">
        <v>2335</v>
      </c>
      <c r="AA231" s="1" t="s">
        <v>2336</v>
      </c>
    </row>
    <row r="232" spans="1:27" hidden="1" outlineLevel="1" x14ac:dyDescent="0.15">
      <c r="A232" s="9">
        <v>229</v>
      </c>
      <c r="B232" s="5">
        <f t="shared" si="7"/>
        <v>5</v>
      </c>
      <c r="C232" s="71">
        <f t="shared" si="5"/>
        <v>50129</v>
      </c>
      <c r="D232" s="72">
        <v>129</v>
      </c>
      <c r="E232" s="11" t="s">
        <v>2129</v>
      </c>
      <c r="F232" s="11" t="s">
        <v>2130</v>
      </c>
      <c r="G232" s="11" t="s">
        <v>2131</v>
      </c>
      <c r="H232" s="11" t="s">
        <v>2132</v>
      </c>
      <c r="I232" s="11"/>
      <c r="J232" s="11"/>
      <c r="K232" s="11"/>
      <c r="L232" s="11"/>
      <c r="M232" s="11"/>
      <c r="N232" s="11"/>
      <c r="O232" s="11"/>
      <c r="P232" s="11"/>
      <c r="Q232" s="11"/>
      <c r="R232" s="9"/>
      <c r="S232" s="9" t="s">
        <v>2133</v>
      </c>
      <c r="T232" s="9" t="s">
        <v>2134</v>
      </c>
      <c r="U232" s="9" t="s">
        <v>2135</v>
      </c>
      <c r="V232" s="9" t="s">
        <v>2136</v>
      </c>
      <c r="W232" s="5" t="str">
        <f>IF($D232="","",VLOOKUP($B232,メインシート!$B$13:$D$18,2,0))</f>
        <v>宮城</v>
      </c>
      <c r="X232" s="5"/>
      <c r="Z232" s="1" t="s">
        <v>2306</v>
      </c>
      <c r="AA232" s="1" t="s">
        <v>2307</v>
      </c>
    </row>
    <row r="233" spans="1:27" hidden="1" outlineLevel="1" x14ac:dyDescent="0.15">
      <c r="A233" s="9">
        <v>230</v>
      </c>
      <c r="B233" s="5">
        <f t="shared" si="7"/>
        <v>5</v>
      </c>
      <c r="C233" s="71">
        <f t="shared" si="5"/>
        <v>50130</v>
      </c>
      <c r="D233" s="72">
        <v>130</v>
      </c>
      <c r="E233" s="11" t="s">
        <v>2372</v>
      </c>
      <c r="F233" s="11" t="s">
        <v>2394</v>
      </c>
      <c r="G233" s="11" t="s">
        <v>2419</v>
      </c>
      <c r="H233" s="11" t="s">
        <v>2442</v>
      </c>
      <c r="I233" s="11"/>
      <c r="J233" s="11"/>
      <c r="K233" s="11"/>
      <c r="L233" s="11"/>
      <c r="M233" s="11"/>
      <c r="N233" s="11"/>
      <c r="O233" s="11"/>
      <c r="P233" s="11"/>
      <c r="Q233" s="11"/>
      <c r="R233" s="10"/>
      <c r="S233" s="10" t="s">
        <v>2517</v>
      </c>
      <c r="T233" s="10" t="s">
        <v>2518</v>
      </c>
      <c r="U233" s="10" t="s">
        <v>2515</v>
      </c>
      <c r="V233" s="10" t="s">
        <v>2516</v>
      </c>
      <c r="W233" s="5" t="str">
        <f>IF($D233="","",VLOOKUP($B233,メインシート!$B$13:$D$18,2,0))</f>
        <v>宮城</v>
      </c>
      <c r="X233" s="5"/>
      <c r="Z233" s="1" t="s">
        <v>2347</v>
      </c>
      <c r="AA233" s="1" t="s">
        <v>2348</v>
      </c>
    </row>
    <row r="234" spans="1:27" hidden="1" outlineLevel="1" x14ac:dyDescent="0.15">
      <c r="A234" s="9">
        <v>231</v>
      </c>
      <c r="B234" s="5">
        <f t="shared" si="7"/>
        <v>5</v>
      </c>
      <c r="C234" s="71">
        <f t="shared" si="5"/>
        <v>50131</v>
      </c>
      <c r="D234" s="72">
        <v>131</v>
      </c>
      <c r="E234" s="11" t="s">
        <v>2137</v>
      </c>
      <c r="F234" s="11" t="s">
        <v>2138</v>
      </c>
      <c r="G234" s="11" t="s">
        <v>2139</v>
      </c>
      <c r="H234" s="11" t="s">
        <v>2140</v>
      </c>
      <c r="I234" s="11"/>
      <c r="J234" s="11"/>
      <c r="K234" s="11"/>
      <c r="L234" s="11"/>
      <c r="M234" s="11"/>
      <c r="N234" s="11"/>
      <c r="O234" s="11"/>
      <c r="P234" s="11"/>
      <c r="Q234" s="11"/>
      <c r="R234" s="9"/>
      <c r="S234" s="9" t="s">
        <v>2141</v>
      </c>
      <c r="T234" s="9" t="s">
        <v>2142</v>
      </c>
      <c r="U234" s="9" t="s">
        <v>2143</v>
      </c>
      <c r="V234" s="9" t="s">
        <v>2144</v>
      </c>
      <c r="W234" s="5" t="str">
        <f>IF($D234="","",VLOOKUP($B234,メインシート!$B$13:$D$18,2,0))</f>
        <v>宮城</v>
      </c>
      <c r="X234" s="5"/>
      <c r="Z234" s="1" t="s">
        <v>2329</v>
      </c>
      <c r="AA234" s="1" t="s">
        <v>2330</v>
      </c>
    </row>
    <row r="235" spans="1:27" hidden="1" outlineLevel="1" x14ac:dyDescent="0.15">
      <c r="A235" s="9">
        <v>232</v>
      </c>
      <c r="B235" s="5">
        <f t="shared" si="7"/>
        <v>5</v>
      </c>
      <c r="C235" s="71">
        <f t="shared" si="5"/>
        <v>50132</v>
      </c>
      <c r="D235" s="72">
        <v>132</v>
      </c>
      <c r="E235" s="11" t="s">
        <v>2121</v>
      </c>
      <c r="F235" s="11" t="s">
        <v>2122</v>
      </c>
      <c r="G235" s="11" t="s">
        <v>2123</v>
      </c>
      <c r="H235" s="11" t="s">
        <v>2124</v>
      </c>
      <c r="I235" s="11"/>
      <c r="J235" s="11"/>
      <c r="K235" s="11"/>
      <c r="L235" s="11"/>
      <c r="M235" s="11"/>
      <c r="N235" s="11"/>
      <c r="O235" s="11"/>
      <c r="P235" s="11"/>
      <c r="Q235" s="11"/>
      <c r="R235" s="9"/>
      <c r="S235" s="9" t="s">
        <v>2125</v>
      </c>
      <c r="T235" s="9" t="s">
        <v>2126</v>
      </c>
      <c r="U235" s="9" t="s">
        <v>2127</v>
      </c>
      <c r="V235" s="9" t="s">
        <v>2128</v>
      </c>
      <c r="W235" s="5" t="str">
        <f>IF($D235="","",VLOOKUP($B235,メインシート!$B$13:$D$18,2,0))</f>
        <v>宮城</v>
      </c>
      <c r="X235" s="5"/>
    </row>
    <row r="236" spans="1:27" hidden="1" outlineLevel="1" x14ac:dyDescent="0.15">
      <c r="A236" s="9">
        <v>233</v>
      </c>
      <c r="B236" s="5">
        <f t="shared" si="7"/>
        <v>5</v>
      </c>
      <c r="C236" s="71">
        <f t="shared" si="5"/>
        <v>50133</v>
      </c>
      <c r="D236" s="72">
        <v>133</v>
      </c>
      <c r="E236" s="11" t="s">
        <v>2190</v>
      </c>
      <c r="F236" s="11" t="s">
        <v>2191</v>
      </c>
      <c r="G236" s="11" t="s">
        <v>2192</v>
      </c>
      <c r="H236" s="11" t="s">
        <v>2193</v>
      </c>
      <c r="I236" s="11"/>
      <c r="J236" s="11"/>
      <c r="K236" s="11"/>
      <c r="L236" s="11"/>
      <c r="M236" s="11"/>
      <c r="N236" s="11"/>
      <c r="O236" s="11"/>
      <c r="P236" s="11"/>
      <c r="Q236" s="11"/>
      <c r="R236" s="9"/>
      <c r="S236" s="9" t="s">
        <v>2194</v>
      </c>
      <c r="T236" s="9" t="s">
        <v>2195</v>
      </c>
      <c r="U236" s="9" t="s">
        <v>2196</v>
      </c>
      <c r="V236" s="9" t="s">
        <v>2197</v>
      </c>
      <c r="W236" s="5" t="str">
        <f>IF($D236="","",VLOOKUP($B236,メインシート!$B$13:$D$18,2,0))</f>
        <v>宮城</v>
      </c>
      <c r="X236" s="5"/>
      <c r="Z236" s="1" t="s">
        <v>2349</v>
      </c>
      <c r="AA236" s="1" t="s">
        <v>2350</v>
      </c>
    </row>
    <row r="237" spans="1:27" hidden="1" outlineLevel="1" x14ac:dyDescent="0.15">
      <c r="A237" s="9">
        <v>234</v>
      </c>
      <c r="B237" s="5">
        <f t="shared" si="7"/>
        <v>5</v>
      </c>
      <c r="C237" s="71">
        <f t="shared" si="5"/>
        <v>50134</v>
      </c>
      <c r="D237" s="72">
        <v>134</v>
      </c>
      <c r="E237" s="11" t="s">
        <v>2183</v>
      </c>
      <c r="F237" s="11" t="s">
        <v>2184</v>
      </c>
      <c r="G237" s="11" t="s">
        <v>2185</v>
      </c>
      <c r="H237" s="11" t="s">
        <v>2186</v>
      </c>
      <c r="I237" s="11"/>
      <c r="J237" s="11"/>
      <c r="K237" s="11"/>
      <c r="L237" s="11"/>
      <c r="M237" s="11"/>
      <c r="N237" s="11"/>
      <c r="O237" s="11"/>
      <c r="P237" s="11"/>
      <c r="Q237" s="11"/>
      <c r="R237" s="9"/>
      <c r="S237" s="9" t="s">
        <v>2187</v>
      </c>
      <c r="T237" s="9" t="s">
        <v>2188</v>
      </c>
      <c r="U237" s="9" t="s">
        <v>2189</v>
      </c>
      <c r="V237" s="9" t="s">
        <v>2353</v>
      </c>
      <c r="W237" s="5" t="str">
        <f>IF($D237="","",VLOOKUP($B237,メインシート!$B$13:$D$18,2,0))</f>
        <v>宮城</v>
      </c>
      <c r="X237" s="5"/>
    </row>
    <row r="238" spans="1:27" hidden="1" outlineLevel="1" x14ac:dyDescent="0.15">
      <c r="A238" s="9">
        <v>235</v>
      </c>
      <c r="B238" s="5">
        <f t="shared" si="7"/>
        <v>5</v>
      </c>
      <c r="C238" s="71">
        <f t="shared" si="5"/>
        <v>50135</v>
      </c>
      <c r="D238" s="72">
        <v>135</v>
      </c>
      <c r="E238" s="11" t="s">
        <v>2361</v>
      </c>
      <c r="F238" s="11" t="s">
        <v>2383</v>
      </c>
      <c r="G238" s="11" t="s">
        <v>2408</v>
      </c>
      <c r="H238" s="11" t="s">
        <v>2431</v>
      </c>
      <c r="I238" s="11"/>
      <c r="J238" s="11"/>
      <c r="K238" s="11"/>
      <c r="L238" s="11"/>
      <c r="M238" s="11"/>
      <c r="N238" s="11"/>
      <c r="O238" s="11"/>
      <c r="P238" s="11"/>
      <c r="Q238" s="11"/>
      <c r="R238" s="10"/>
      <c r="S238" s="10" t="s">
        <v>2474</v>
      </c>
      <c r="T238" s="10" t="s">
        <v>2475</v>
      </c>
      <c r="U238" s="10" t="s">
        <v>2472</v>
      </c>
      <c r="V238" s="10" t="s">
        <v>2473</v>
      </c>
      <c r="W238" s="5" t="str">
        <f>IF($D238="","",VLOOKUP($B238,メインシート!$B$13:$D$18,2,0))</f>
        <v>宮城</v>
      </c>
      <c r="X238" s="5"/>
      <c r="Z238" s="1" t="s">
        <v>2304</v>
      </c>
      <c r="AA238" s="1" t="s">
        <v>2305</v>
      </c>
    </row>
    <row r="239" spans="1:27" hidden="1" outlineLevel="1" x14ac:dyDescent="0.15">
      <c r="A239" s="9">
        <v>236</v>
      </c>
      <c r="B239" s="5">
        <f t="shared" si="7"/>
        <v>5</v>
      </c>
      <c r="C239" s="71">
        <f t="shared" si="5"/>
        <v>50136</v>
      </c>
      <c r="D239" s="72">
        <v>136</v>
      </c>
      <c r="E239" s="11" t="s">
        <v>2205</v>
      </c>
      <c r="F239" s="11" t="s">
        <v>2206</v>
      </c>
      <c r="G239" s="11" t="s">
        <v>2207</v>
      </c>
      <c r="H239" s="11" t="s">
        <v>2208</v>
      </c>
      <c r="I239" s="11"/>
      <c r="J239" s="11"/>
      <c r="K239" s="11"/>
      <c r="L239" s="11"/>
      <c r="M239" s="11"/>
      <c r="N239" s="11"/>
      <c r="O239" s="11"/>
      <c r="P239" s="11"/>
      <c r="Q239" s="11"/>
      <c r="R239" s="9"/>
      <c r="S239" s="9" t="s">
        <v>2209</v>
      </c>
      <c r="T239" s="9" t="s">
        <v>2210</v>
      </c>
      <c r="U239" s="9" t="s">
        <v>2211</v>
      </c>
      <c r="V239" s="9" t="s">
        <v>2212</v>
      </c>
      <c r="W239" s="5" t="str">
        <f>IF($D239="","",VLOOKUP($B239,メインシート!$B$13:$D$18,2,0))</f>
        <v>宮城</v>
      </c>
      <c r="X239" s="5"/>
      <c r="Z239" s="1" t="s">
        <v>2323</v>
      </c>
      <c r="AA239" s="1" t="s">
        <v>2324</v>
      </c>
    </row>
    <row r="240" spans="1:27" hidden="1" outlineLevel="1" x14ac:dyDescent="0.15">
      <c r="A240" s="9">
        <v>237</v>
      </c>
      <c r="B240" s="5">
        <f t="shared" si="7"/>
        <v>5</v>
      </c>
      <c r="C240" s="71">
        <f t="shared" si="5"/>
        <v>50137</v>
      </c>
      <c r="D240" s="72">
        <v>137</v>
      </c>
      <c r="E240" s="11" t="s">
        <v>2360</v>
      </c>
      <c r="F240" s="11" t="s">
        <v>2382</v>
      </c>
      <c r="G240" s="11" t="s">
        <v>2407</v>
      </c>
      <c r="H240" s="11" t="s">
        <v>2430</v>
      </c>
      <c r="I240" s="11"/>
      <c r="J240" s="11"/>
      <c r="K240" s="11"/>
      <c r="L240" s="11"/>
      <c r="M240" s="11"/>
      <c r="N240" s="11"/>
      <c r="O240" s="11"/>
      <c r="P240" s="11"/>
      <c r="Q240" s="11"/>
      <c r="R240" s="10"/>
      <c r="S240" s="10" t="s">
        <v>2470</v>
      </c>
      <c r="T240" s="10" t="s">
        <v>2471</v>
      </c>
      <c r="U240" s="10" t="s">
        <v>2468</v>
      </c>
      <c r="V240" s="10" t="s">
        <v>2469</v>
      </c>
      <c r="W240" s="5" t="str">
        <f>IF($D240="","",VLOOKUP($B240,メインシート!$B$13:$D$18,2,0))</f>
        <v>宮城</v>
      </c>
      <c r="X240" s="5"/>
      <c r="Z240" s="1" t="s">
        <v>2337</v>
      </c>
      <c r="AA240" s="1" t="s">
        <v>2338</v>
      </c>
    </row>
    <row r="241" spans="1:27" hidden="1" outlineLevel="1" x14ac:dyDescent="0.15">
      <c r="A241" s="9">
        <v>238</v>
      </c>
      <c r="B241" s="5">
        <f t="shared" si="7"/>
        <v>5</v>
      </c>
      <c r="C241" s="71">
        <f t="shared" si="5"/>
        <v>50138</v>
      </c>
      <c r="D241" s="72">
        <v>138</v>
      </c>
      <c r="E241" s="11" t="s">
        <v>2369</v>
      </c>
      <c r="F241" s="11" t="s">
        <v>2391</v>
      </c>
      <c r="G241" s="11" t="s">
        <v>2416</v>
      </c>
      <c r="H241" s="11" t="s">
        <v>2439</v>
      </c>
      <c r="I241" s="11"/>
      <c r="J241" s="11"/>
      <c r="K241" s="11"/>
      <c r="L241" s="11"/>
      <c r="M241" s="11"/>
      <c r="N241" s="11"/>
      <c r="O241" s="11"/>
      <c r="P241" s="11"/>
      <c r="Q241" s="11"/>
      <c r="R241" s="10"/>
      <c r="S241" s="10" t="s">
        <v>2505</v>
      </c>
      <c r="T241" s="10" t="s">
        <v>2506</v>
      </c>
      <c r="U241" s="10" t="s">
        <v>2503</v>
      </c>
      <c r="V241" s="10" t="s">
        <v>2504</v>
      </c>
      <c r="W241" s="5" t="str">
        <f>IF($D241="","",VLOOKUP($B241,メインシート!$B$13:$D$18,2,0))</f>
        <v>宮城</v>
      </c>
      <c r="X241" s="5"/>
      <c r="Z241" s="1" t="s">
        <v>2290</v>
      </c>
      <c r="AA241" s="1" t="s">
        <v>2295</v>
      </c>
    </row>
    <row r="242" spans="1:27" hidden="1" outlineLevel="1" x14ac:dyDescent="0.15">
      <c r="A242" s="9">
        <v>239</v>
      </c>
      <c r="B242" s="5">
        <f t="shared" si="7"/>
        <v>5</v>
      </c>
      <c r="C242" s="71">
        <f t="shared" si="5"/>
        <v>50139</v>
      </c>
      <c r="D242" s="72">
        <v>139</v>
      </c>
      <c r="E242" s="11" t="s">
        <v>2106</v>
      </c>
      <c r="F242" s="11" t="s">
        <v>2107</v>
      </c>
      <c r="G242" s="11" t="s">
        <v>2108</v>
      </c>
      <c r="H242" s="11" t="s">
        <v>2109</v>
      </c>
      <c r="I242" s="11"/>
      <c r="J242" s="11"/>
      <c r="K242" s="11"/>
      <c r="L242" s="11"/>
      <c r="M242" s="11"/>
      <c r="N242" s="11"/>
      <c r="O242" s="11"/>
      <c r="P242" s="11"/>
      <c r="Q242" s="11"/>
      <c r="R242" s="9"/>
      <c r="S242" s="9" t="s">
        <v>2110</v>
      </c>
      <c r="T242" s="9" t="s">
        <v>2111</v>
      </c>
      <c r="U242" s="9" t="s">
        <v>2112</v>
      </c>
      <c r="V242" s="9" t="s">
        <v>2113</v>
      </c>
      <c r="W242" s="5" t="str">
        <f>IF($D242="","",VLOOKUP($B242,メインシート!$B$13:$D$18,2,0))</f>
        <v>宮城</v>
      </c>
      <c r="X242" s="5"/>
    </row>
    <row r="243" spans="1:27" hidden="1" outlineLevel="1" x14ac:dyDescent="0.15">
      <c r="A243" s="9">
        <v>240</v>
      </c>
      <c r="B243" s="5">
        <f t="shared" si="7"/>
        <v>5</v>
      </c>
      <c r="C243" s="71">
        <f t="shared" si="5"/>
        <v>50140</v>
      </c>
      <c r="D243" s="72">
        <v>140</v>
      </c>
      <c r="E243" s="11" t="s">
        <v>2114</v>
      </c>
      <c r="F243" s="11" t="s">
        <v>2115</v>
      </c>
      <c r="G243" s="11" t="s">
        <v>2116</v>
      </c>
      <c r="H243" s="11" t="s">
        <v>2117</v>
      </c>
      <c r="I243" s="11"/>
      <c r="J243" s="11"/>
      <c r="K243" s="11"/>
      <c r="L243" s="11"/>
      <c r="M243" s="11"/>
      <c r="N243" s="11"/>
      <c r="O243" s="11"/>
      <c r="P243" s="11"/>
      <c r="Q243" s="11"/>
      <c r="R243" s="9"/>
      <c r="S243" s="9" t="s">
        <v>2118</v>
      </c>
      <c r="T243" s="9" t="s">
        <v>2119</v>
      </c>
      <c r="U243" s="9" t="s">
        <v>2120</v>
      </c>
      <c r="V243" s="9" t="s">
        <v>2354</v>
      </c>
      <c r="W243" s="5" t="str">
        <f>IF($D243="","",VLOOKUP($B243,メインシート!$B$13:$D$18,2,0))</f>
        <v>宮城</v>
      </c>
      <c r="X243" s="5"/>
      <c r="Z243" s="1" t="s">
        <v>2296</v>
      </c>
      <c r="AA243" s="1" t="s">
        <v>2297</v>
      </c>
    </row>
    <row r="244" spans="1:27" hidden="1" outlineLevel="1" x14ac:dyDescent="0.15">
      <c r="A244" s="9">
        <v>241</v>
      </c>
      <c r="B244" s="5">
        <f t="shared" si="7"/>
        <v>5</v>
      </c>
      <c r="C244" s="71">
        <f t="shared" si="5"/>
        <v>50141</v>
      </c>
      <c r="D244" s="72">
        <v>141</v>
      </c>
      <c r="E244" s="11" t="s">
        <v>2362</v>
      </c>
      <c r="F244" s="11" t="s">
        <v>2384</v>
      </c>
      <c r="G244" s="11" t="s">
        <v>2409</v>
      </c>
      <c r="H244" s="11" t="s">
        <v>2432</v>
      </c>
      <c r="I244" s="11"/>
      <c r="J244" s="11"/>
      <c r="K244" s="11"/>
      <c r="L244" s="11"/>
      <c r="M244" s="11"/>
      <c r="N244" s="11"/>
      <c r="O244" s="11"/>
      <c r="P244" s="11"/>
      <c r="Q244" s="11"/>
      <c r="R244" s="10"/>
      <c r="S244" s="10" t="s">
        <v>2478</v>
      </c>
      <c r="T244" s="10" t="s">
        <v>2479</v>
      </c>
      <c r="U244" s="10" t="s">
        <v>2476</v>
      </c>
      <c r="V244" s="10" t="s">
        <v>2477</v>
      </c>
      <c r="W244" s="5" t="str">
        <f>IF($D244="","",VLOOKUP($B244,メインシート!$B$13:$D$18,2,0))</f>
        <v>宮城</v>
      </c>
      <c r="X244" s="5"/>
      <c r="Z244" s="1" t="s">
        <v>2341</v>
      </c>
      <c r="AA244" s="1" t="s">
        <v>2342</v>
      </c>
    </row>
    <row r="245" spans="1:27" hidden="1" outlineLevel="1" x14ac:dyDescent="0.15">
      <c r="A245" s="9">
        <v>242</v>
      </c>
      <c r="B245" s="5">
        <f t="shared" si="7"/>
        <v>5</v>
      </c>
      <c r="C245" s="71">
        <f t="shared" si="5"/>
        <v>50142</v>
      </c>
      <c r="D245" s="72">
        <v>142</v>
      </c>
      <c r="E245" s="11" t="s">
        <v>2152</v>
      </c>
      <c r="F245" s="11" t="s">
        <v>2153</v>
      </c>
      <c r="G245" s="11" t="s">
        <v>2154</v>
      </c>
      <c r="H245" s="11" t="s">
        <v>2155</v>
      </c>
      <c r="I245" s="11"/>
      <c r="J245" s="11"/>
      <c r="K245" s="11"/>
      <c r="L245" s="11"/>
      <c r="M245" s="11"/>
      <c r="N245" s="11"/>
      <c r="O245" s="11"/>
      <c r="P245" s="11"/>
      <c r="Q245" s="11"/>
      <c r="R245" s="9"/>
      <c r="S245" s="9" t="s">
        <v>2156</v>
      </c>
      <c r="T245" s="9" t="s">
        <v>2157</v>
      </c>
      <c r="U245" s="9" t="s">
        <v>2158</v>
      </c>
      <c r="V245" s="9" t="s">
        <v>2159</v>
      </c>
      <c r="W245" s="5" t="str">
        <f>IF($D245="","",VLOOKUP($B245,メインシート!$B$13:$D$18,2,0))</f>
        <v>宮城</v>
      </c>
      <c r="X245" s="5"/>
      <c r="Z245" s="1" t="s">
        <v>2291</v>
      </c>
      <c r="AA245" s="1" t="s">
        <v>2292</v>
      </c>
    </row>
    <row r="246" spans="1:27" hidden="1" outlineLevel="1" x14ac:dyDescent="0.15">
      <c r="A246" s="9">
        <v>243</v>
      </c>
      <c r="B246" s="5">
        <f t="shared" si="7"/>
        <v>5</v>
      </c>
      <c r="C246" s="71">
        <f t="shared" si="5"/>
        <v>50143</v>
      </c>
      <c r="D246" s="72">
        <v>143</v>
      </c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0"/>
      <c r="S246" s="10"/>
      <c r="T246" s="10"/>
      <c r="U246" s="10"/>
      <c r="V246" s="10"/>
      <c r="W246" s="5" t="str">
        <f>IF($D246="","",VLOOKUP($B246,メインシート!$B$13:$D$18,2,0))</f>
        <v>宮城</v>
      </c>
      <c r="X246" s="5"/>
    </row>
    <row r="247" spans="1:27" hidden="1" outlineLevel="1" x14ac:dyDescent="0.15">
      <c r="A247" s="9">
        <v>244</v>
      </c>
      <c r="B247" s="5">
        <f t="shared" si="7"/>
        <v>5</v>
      </c>
      <c r="C247" s="71">
        <f t="shared" si="5"/>
        <v>50144</v>
      </c>
      <c r="D247" s="72">
        <v>144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3"/>
      <c r="S247" s="3"/>
      <c r="T247" s="3"/>
      <c r="U247" s="3"/>
      <c r="V247" s="3"/>
      <c r="W247" s="5" t="str">
        <f>IF($D247="","",VLOOKUP($B247,メインシート!$B$13:$D$18,2,0))</f>
        <v>宮城</v>
      </c>
      <c r="X247" s="5"/>
    </row>
    <row r="248" spans="1:27" hidden="1" outlineLevel="1" x14ac:dyDescent="0.15">
      <c r="A248" s="9">
        <v>245</v>
      </c>
      <c r="B248" s="5">
        <f t="shared" si="7"/>
        <v>5</v>
      </c>
      <c r="C248" s="71">
        <f t="shared" si="5"/>
        <v>50145</v>
      </c>
      <c r="D248" s="72">
        <v>145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3"/>
      <c r="S248" s="3"/>
      <c r="T248" s="3"/>
      <c r="U248" s="3"/>
      <c r="V248" s="3"/>
      <c r="W248" s="5" t="str">
        <f>IF($D248="","",VLOOKUP($B248,メインシート!$B$13:$D$18,2,0))</f>
        <v>宮城</v>
      </c>
      <c r="X248" s="5"/>
    </row>
    <row r="249" spans="1:27" hidden="1" outlineLevel="1" x14ac:dyDescent="0.15">
      <c r="A249" s="9">
        <v>246</v>
      </c>
      <c r="B249" s="5">
        <f t="shared" si="7"/>
        <v>5</v>
      </c>
      <c r="C249" s="71">
        <f t="shared" si="5"/>
        <v>50146</v>
      </c>
      <c r="D249" s="72">
        <v>146</v>
      </c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3"/>
      <c r="S249" s="3"/>
      <c r="T249" s="3"/>
      <c r="U249" s="3"/>
      <c r="V249" s="3"/>
      <c r="W249" s="5" t="str">
        <f>IF($D249="","",VLOOKUP($B249,メインシート!$B$13:$D$18,2,0))</f>
        <v>宮城</v>
      </c>
      <c r="X249" s="5"/>
    </row>
    <row r="250" spans="1:27" hidden="1" outlineLevel="1" x14ac:dyDescent="0.15">
      <c r="A250" s="9">
        <v>247</v>
      </c>
      <c r="B250" s="5">
        <f t="shared" si="7"/>
        <v>5</v>
      </c>
      <c r="C250" s="71">
        <f t="shared" si="5"/>
        <v>50147</v>
      </c>
      <c r="D250" s="72">
        <v>147</v>
      </c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3"/>
      <c r="S250" s="3"/>
      <c r="T250" s="3"/>
      <c r="U250" s="3"/>
      <c r="V250" s="3"/>
      <c r="W250" s="5" t="str">
        <f>IF($D250="","",VLOOKUP($B250,メインシート!$B$13:$D$18,2,0))</f>
        <v>宮城</v>
      </c>
      <c r="X250" s="5"/>
    </row>
    <row r="251" spans="1:27" hidden="1" outlineLevel="1" x14ac:dyDescent="0.15">
      <c r="A251" s="9">
        <v>248</v>
      </c>
      <c r="B251" s="5">
        <f t="shared" si="7"/>
        <v>5</v>
      </c>
      <c r="C251" s="71">
        <f t="shared" si="5"/>
        <v>50148</v>
      </c>
      <c r="D251" s="72">
        <v>148</v>
      </c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3"/>
      <c r="S251" s="3"/>
      <c r="T251" s="3"/>
      <c r="U251" s="3"/>
      <c r="V251" s="3"/>
      <c r="W251" s="5" t="str">
        <f>IF($D251="","",VLOOKUP($B251,メインシート!$B$13:$D$18,2,0))</f>
        <v>宮城</v>
      </c>
      <c r="X251" s="5"/>
    </row>
    <row r="252" spans="1:27" hidden="1" outlineLevel="1" x14ac:dyDescent="0.15">
      <c r="A252" s="9">
        <v>249</v>
      </c>
      <c r="B252" s="5">
        <f t="shared" si="7"/>
        <v>5</v>
      </c>
      <c r="C252" s="71">
        <f t="shared" si="5"/>
        <v>50149</v>
      </c>
      <c r="D252" s="72">
        <v>149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3"/>
      <c r="S252" s="3"/>
      <c r="T252" s="3"/>
      <c r="U252" s="3"/>
      <c r="V252" s="3"/>
      <c r="W252" s="5" t="str">
        <f>IF($D252="","",VLOOKUP($B252,メインシート!$B$13:$D$18,2,0))</f>
        <v>宮城</v>
      </c>
      <c r="X252" s="5"/>
    </row>
    <row r="253" spans="1:27" hidden="1" outlineLevel="1" x14ac:dyDescent="0.15">
      <c r="A253" s="9">
        <v>250</v>
      </c>
      <c r="B253" s="5">
        <f t="shared" si="7"/>
        <v>5</v>
      </c>
      <c r="C253" s="71">
        <f t="shared" si="5"/>
        <v>50150</v>
      </c>
      <c r="D253" s="72">
        <v>150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3"/>
      <c r="S253" s="3"/>
      <c r="T253" s="3"/>
      <c r="U253" s="3"/>
      <c r="V253" s="3"/>
      <c r="W253" s="5" t="str">
        <f>IF($D253="","",VLOOKUP($B253,メインシート!$B$13:$D$18,2,0))</f>
        <v>宮城</v>
      </c>
      <c r="X253" s="5"/>
    </row>
    <row r="254" spans="1:27" hidden="1" outlineLevel="1" x14ac:dyDescent="0.15">
      <c r="A254" s="9">
        <v>251</v>
      </c>
      <c r="B254" s="71">
        <v>6</v>
      </c>
      <c r="C254" s="71">
        <f t="shared" ref="C254" si="8">IF(D254="","",VALUE(CONCATENATE(B254,IF(LEN(B254)=1,0,""),D254)))</f>
        <v>60103</v>
      </c>
      <c r="D254" s="72">
        <v>103</v>
      </c>
      <c r="E254" s="4" t="s">
        <v>76</v>
      </c>
      <c r="F254" s="4" t="s">
        <v>77</v>
      </c>
      <c r="G254" s="4" t="s">
        <v>78</v>
      </c>
      <c r="H254" s="4" t="s">
        <v>79</v>
      </c>
      <c r="I254" s="4"/>
      <c r="J254" s="4"/>
      <c r="K254" s="4"/>
      <c r="L254" s="4"/>
      <c r="M254" s="4"/>
      <c r="N254" s="4"/>
      <c r="O254" s="4"/>
      <c r="P254" s="4"/>
      <c r="Q254" s="4"/>
      <c r="R254" s="3"/>
      <c r="S254" s="3" t="s">
        <v>81</v>
      </c>
      <c r="T254" s="3" t="s">
        <v>82</v>
      </c>
      <c r="U254" s="3" t="s">
        <v>83</v>
      </c>
      <c r="V254" s="3" t="s">
        <v>84</v>
      </c>
      <c r="W254" s="5" t="str">
        <f>IF($D254="","",VLOOKUP($B254,メインシート!$B$13:$D$18,2,0))</f>
        <v>福島</v>
      </c>
      <c r="X254" s="5">
        <v>60103</v>
      </c>
      <c r="Z254" s="1" t="s">
        <v>1111</v>
      </c>
    </row>
    <row r="255" spans="1:27" hidden="1" outlineLevel="1" x14ac:dyDescent="0.15">
      <c r="A255" s="9">
        <v>252</v>
      </c>
      <c r="B255" s="5">
        <f t="shared" si="7"/>
        <v>6</v>
      </c>
      <c r="C255" s="71">
        <f t="shared" ref="C255:C318" si="9">IF(D255="","",VALUE(CONCATENATE(B255,IF(LEN(B255)=1,0,""),D255)))</f>
        <v>60104</v>
      </c>
      <c r="D255" s="73">
        <v>104</v>
      </c>
      <c r="E255" s="11" t="s">
        <v>940</v>
      </c>
      <c r="F255" s="11" t="s">
        <v>941</v>
      </c>
      <c r="G255" s="11" t="s">
        <v>942</v>
      </c>
      <c r="H255" s="11" t="s">
        <v>943</v>
      </c>
      <c r="I255" s="11"/>
      <c r="J255" s="11"/>
      <c r="K255" s="11"/>
      <c r="L255" s="11"/>
      <c r="M255" s="11"/>
      <c r="N255" s="11"/>
      <c r="O255" s="11"/>
      <c r="P255" s="11"/>
      <c r="Q255" s="11"/>
      <c r="R255" s="9"/>
      <c r="S255" s="9" t="s">
        <v>86</v>
      </c>
      <c r="T255" s="9" t="s">
        <v>87</v>
      </c>
      <c r="U255" s="9" t="s">
        <v>88</v>
      </c>
      <c r="V255" s="9" t="s">
        <v>944</v>
      </c>
      <c r="W255" s="5" t="str">
        <f>IF($D255="","",VLOOKUP($B255,メインシート!$B$13:$D$18,2,0))</f>
        <v>福島</v>
      </c>
      <c r="X255" s="5">
        <f t="shared" ref="X255:X318" si="10">IF(C255="","",C255)</f>
        <v>60104</v>
      </c>
      <c r="Z255" s="1" t="s">
        <v>997</v>
      </c>
    </row>
    <row r="256" spans="1:27" hidden="1" outlineLevel="1" x14ac:dyDescent="0.15">
      <c r="A256" s="9">
        <v>253</v>
      </c>
      <c r="B256" s="5">
        <f t="shared" si="7"/>
        <v>6</v>
      </c>
      <c r="C256" s="71">
        <f t="shared" si="9"/>
        <v>60108</v>
      </c>
      <c r="D256" s="74">
        <v>108</v>
      </c>
      <c r="E256" s="11" t="s">
        <v>89</v>
      </c>
      <c r="F256" s="11" t="s">
        <v>90</v>
      </c>
      <c r="G256" s="11" t="s">
        <v>91</v>
      </c>
      <c r="H256" s="11" t="s">
        <v>92</v>
      </c>
      <c r="I256" s="11"/>
      <c r="J256" s="11"/>
      <c r="K256" s="11"/>
      <c r="L256" s="11"/>
      <c r="M256" s="11"/>
      <c r="N256" s="11"/>
      <c r="O256" s="11"/>
      <c r="P256" s="11"/>
      <c r="Q256" s="11"/>
      <c r="R256" s="10"/>
      <c r="S256" s="10" t="s">
        <v>93</v>
      </c>
      <c r="T256" s="10" t="s">
        <v>94</v>
      </c>
      <c r="U256" s="10" t="s">
        <v>95</v>
      </c>
      <c r="V256" s="10" t="s">
        <v>96</v>
      </c>
      <c r="W256" s="5" t="str">
        <f>IF($D256="","",VLOOKUP($B256,メインシート!$B$13:$D$18,2,0))</f>
        <v>福島</v>
      </c>
      <c r="X256" s="5">
        <f t="shared" si="10"/>
        <v>60108</v>
      </c>
      <c r="Z256" s="1" t="s">
        <v>998</v>
      </c>
    </row>
    <row r="257" spans="1:26" hidden="1" outlineLevel="1" x14ac:dyDescent="0.15">
      <c r="A257" s="9">
        <v>254</v>
      </c>
      <c r="B257" s="5">
        <f t="shared" si="7"/>
        <v>6</v>
      </c>
      <c r="C257" s="71">
        <f t="shared" si="9"/>
        <v>60109</v>
      </c>
      <c r="D257" s="73">
        <v>109</v>
      </c>
      <c r="E257" s="11" t="s">
        <v>97</v>
      </c>
      <c r="F257" s="11" t="s">
        <v>98</v>
      </c>
      <c r="G257" s="11" t="s">
        <v>99</v>
      </c>
      <c r="H257" s="11" t="s">
        <v>100</v>
      </c>
      <c r="I257" s="11"/>
      <c r="J257" s="11"/>
      <c r="K257" s="11"/>
      <c r="L257" s="11"/>
      <c r="M257" s="11"/>
      <c r="N257" s="11"/>
      <c r="O257" s="11"/>
      <c r="P257" s="11"/>
      <c r="Q257" s="11"/>
      <c r="R257" s="9"/>
      <c r="S257" s="9" t="s">
        <v>102</v>
      </c>
      <c r="T257" s="9" t="s">
        <v>103</v>
      </c>
      <c r="U257" s="9" t="s">
        <v>104</v>
      </c>
      <c r="V257" s="9" t="s">
        <v>105</v>
      </c>
      <c r="W257" s="5" t="str">
        <f>IF($D257="","",VLOOKUP($B257,メインシート!$B$13:$D$18,2,0))</f>
        <v>福島</v>
      </c>
      <c r="X257" s="5">
        <f t="shared" si="10"/>
        <v>60109</v>
      </c>
      <c r="Z257" s="1" t="s">
        <v>999</v>
      </c>
    </row>
    <row r="258" spans="1:26" hidden="1" outlineLevel="1" x14ac:dyDescent="0.15">
      <c r="A258" s="9">
        <v>255</v>
      </c>
      <c r="B258" s="5">
        <f t="shared" si="7"/>
        <v>6</v>
      </c>
      <c r="C258" s="71">
        <f t="shared" si="9"/>
        <v>60110</v>
      </c>
      <c r="D258" s="74">
        <v>110</v>
      </c>
      <c r="E258" s="11" t="s">
        <v>106</v>
      </c>
      <c r="F258" s="11" t="s">
        <v>107</v>
      </c>
      <c r="G258" s="11" t="s">
        <v>108</v>
      </c>
      <c r="H258" s="11" t="s">
        <v>109</v>
      </c>
      <c r="I258" s="11"/>
      <c r="J258" s="11"/>
      <c r="K258" s="11"/>
      <c r="L258" s="11"/>
      <c r="M258" s="11"/>
      <c r="N258" s="11"/>
      <c r="O258" s="11"/>
      <c r="P258" s="11"/>
      <c r="Q258" s="11"/>
      <c r="R258" s="10"/>
      <c r="S258" s="10" t="s">
        <v>110</v>
      </c>
      <c r="T258" s="10" t="s">
        <v>111</v>
      </c>
      <c r="U258" s="10" t="s">
        <v>112</v>
      </c>
      <c r="V258" s="10" t="s">
        <v>113</v>
      </c>
      <c r="W258" s="5" t="str">
        <f>IF($D258="","",VLOOKUP($B258,メインシート!$B$13:$D$18,2,0))</f>
        <v>福島</v>
      </c>
      <c r="X258" s="5">
        <f t="shared" si="10"/>
        <v>60110</v>
      </c>
      <c r="Z258" s="1" t="s">
        <v>1000</v>
      </c>
    </row>
    <row r="259" spans="1:26" hidden="1" outlineLevel="1" x14ac:dyDescent="0.15">
      <c r="A259" s="9">
        <v>256</v>
      </c>
      <c r="B259" s="5">
        <f t="shared" si="7"/>
        <v>6</v>
      </c>
      <c r="C259" s="71">
        <f t="shared" si="9"/>
        <v>60112</v>
      </c>
      <c r="D259" s="74">
        <v>112</v>
      </c>
      <c r="E259" s="11" t="s">
        <v>945</v>
      </c>
      <c r="F259" s="11" t="s">
        <v>946</v>
      </c>
      <c r="G259" s="11" t="s">
        <v>947</v>
      </c>
      <c r="H259" s="11" t="s">
        <v>948</v>
      </c>
      <c r="I259" s="11"/>
      <c r="J259" s="11"/>
      <c r="K259" s="11"/>
      <c r="L259" s="11"/>
      <c r="M259" s="11"/>
      <c r="N259" s="11"/>
      <c r="O259" s="11"/>
      <c r="P259" s="11"/>
      <c r="Q259" s="11"/>
      <c r="R259" s="10"/>
      <c r="S259" s="10" t="s">
        <v>114</v>
      </c>
      <c r="T259" s="10" t="s">
        <v>115</v>
      </c>
      <c r="U259" s="10" t="s">
        <v>116</v>
      </c>
      <c r="V259" s="10" t="s">
        <v>949</v>
      </c>
      <c r="W259" s="5" t="str">
        <f>IF($D259="","",VLOOKUP($B259,メインシート!$B$13:$D$18,2,0))</f>
        <v>福島</v>
      </c>
      <c r="X259" s="5">
        <f t="shared" si="10"/>
        <v>60112</v>
      </c>
      <c r="Z259" s="1" t="s">
        <v>1001</v>
      </c>
    </row>
    <row r="260" spans="1:26" hidden="1" outlineLevel="1" x14ac:dyDescent="0.15">
      <c r="A260" s="9">
        <v>257</v>
      </c>
      <c r="B260" s="5">
        <f t="shared" si="7"/>
        <v>6</v>
      </c>
      <c r="C260" s="71">
        <f t="shared" si="9"/>
        <v>60113</v>
      </c>
      <c r="D260" s="74">
        <v>113</v>
      </c>
      <c r="E260" s="11" t="s">
        <v>117</v>
      </c>
      <c r="F260" s="11" t="s">
        <v>118</v>
      </c>
      <c r="G260" s="11" t="s">
        <v>119</v>
      </c>
      <c r="H260" s="11" t="s">
        <v>120</v>
      </c>
      <c r="I260" s="11"/>
      <c r="J260" s="11"/>
      <c r="K260" s="11"/>
      <c r="L260" s="11"/>
      <c r="M260" s="11"/>
      <c r="N260" s="11"/>
      <c r="O260" s="11"/>
      <c r="P260" s="11"/>
      <c r="Q260" s="11"/>
      <c r="R260" s="10"/>
      <c r="S260" s="10" t="s">
        <v>121</v>
      </c>
      <c r="T260" s="10" t="s">
        <v>122</v>
      </c>
      <c r="U260" s="10" t="s">
        <v>123</v>
      </c>
      <c r="V260" s="10" t="s">
        <v>124</v>
      </c>
      <c r="W260" s="5" t="str">
        <f>IF($D260="","",VLOOKUP($B260,メインシート!$B$13:$D$18,2,0))</f>
        <v>福島</v>
      </c>
      <c r="X260" s="5">
        <f t="shared" si="10"/>
        <v>60113</v>
      </c>
      <c r="Z260" s="1" t="s">
        <v>1002</v>
      </c>
    </row>
    <row r="261" spans="1:26" hidden="1" outlineLevel="1" x14ac:dyDescent="0.15">
      <c r="A261" s="9">
        <v>258</v>
      </c>
      <c r="B261" s="5">
        <f t="shared" si="7"/>
        <v>6</v>
      </c>
      <c r="C261" s="71">
        <f t="shared" si="9"/>
        <v>60114</v>
      </c>
      <c r="D261" s="74">
        <v>114</v>
      </c>
      <c r="E261" s="11" t="s">
        <v>125</v>
      </c>
      <c r="F261" s="11" t="s">
        <v>126</v>
      </c>
      <c r="G261" s="11" t="s">
        <v>127</v>
      </c>
      <c r="H261" s="11" t="s">
        <v>128</v>
      </c>
      <c r="I261" s="11"/>
      <c r="J261" s="11"/>
      <c r="K261" s="11"/>
      <c r="L261" s="11"/>
      <c r="M261" s="11"/>
      <c r="N261" s="11"/>
      <c r="O261" s="11"/>
      <c r="P261" s="11"/>
      <c r="Q261" s="11"/>
      <c r="R261" s="10"/>
      <c r="S261" s="10" t="s">
        <v>129</v>
      </c>
      <c r="T261" s="10" t="s">
        <v>130</v>
      </c>
      <c r="U261" s="10" t="s">
        <v>131</v>
      </c>
      <c r="V261" s="10" t="s">
        <v>950</v>
      </c>
      <c r="W261" s="5" t="str">
        <f>IF($D261="","",VLOOKUP($B261,メインシート!$B$13:$D$18,2,0))</f>
        <v>福島</v>
      </c>
      <c r="X261" s="5">
        <f t="shared" si="10"/>
        <v>60114</v>
      </c>
      <c r="Z261" s="1" t="s">
        <v>1003</v>
      </c>
    </row>
    <row r="262" spans="1:26" hidden="1" outlineLevel="1" x14ac:dyDescent="0.15">
      <c r="A262" s="9">
        <v>259</v>
      </c>
      <c r="B262" s="5">
        <f t="shared" si="7"/>
        <v>6</v>
      </c>
      <c r="C262" s="71">
        <f t="shared" si="9"/>
        <v>60116</v>
      </c>
      <c r="D262" s="74">
        <v>116</v>
      </c>
      <c r="E262" s="11" t="s">
        <v>132</v>
      </c>
      <c r="F262" s="11" t="s">
        <v>133</v>
      </c>
      <c r="G262" s="11" t="s">
        <v>134</v>
      </c>
      <c r="H262" s="11" t="s">
        <v>135</v>
      </c>
      <c r="I262" s="11"/>
      <c r="J262" s="11"/>
      <c r="K262" s="11"/>
      <c r="L262" s="11"/>
      <c r="M262" s="11"/>
      <c r="N262" s="11"/>
      <c r="O262" s="11"/>
      <c r="P262" s="11"/>
      <c r="Q262" s="11"/>
      <c r="R262" s="10"/>
      <c r="S262" s="10" t="s">
        <v>136</v>
      </c>
      <c r="T262" s="10" t="s">
        <v>137</v>
      </c>
      <c r="U262" s="10" t="s">
        <v>138</v>
      </c>
      <c r="V262" s="10" t="s">
        <v>139</v>
      </c>
      <c r="W262" s="5" t="str">
        <f>IF($D262="","",VLOOKUP($B262,メインシート!$B$13:$D$18,2,0))</f>
        <v>福島</v>
      </c>
      <c r="X262" s="5">
        <f t="shared" si="10"/>
        <v>60116</v>
      </c>
      <c r="Z262" s="1" t="s">
        <v>1004</v>
      </c>
    </row>
    <row r="263" spans="1:26" hidden="1" outlineLevel="1" x14ac:dyDescent="0.15">
      <c r="A263" s="9">
        <v>260</v>
      </c>
      <c r="B263" s="5">
        <f t="shared" si="7"/>
        <v>6</v>
      </c>
      <c r="C263" s="71">
        <f t="shared" si="9"/>
        <v>60117</v>
      </c>
      <c r="D263" s="74">
        <v>117</v>
      </c>
      <c r="E263" s="11" t="s">
        <v>140</v>
      </c>
      <c r="F263" s="11" t="s">
        <v>141</v>
      </c>
      <c r="G263" s="11" t="s">
        <v>142</v>
      </c>
      <c r="H263" s="11" t="s">
        <v>143</v>
      </c>
      <c r="I263" s="11"/>
      <c r="J263" s="11"/>
      <c r="K263" s="11"/>
      <c r="L263" s="11"/>
      <c r="M263" s="11"/>
      <c r="N263" s="11"/>
      <c r="O263" s="11"/>
      <c r="P263" s="11"/>
      <c r="Q263" s="11"/>
      <c r="R263" s="10"/>
      <c r="S263" s="10" t="s">
        <v>144</v>
      </c>
      <c r="T263" s="10" t="s">
        <v>145</v>
      </c>
      <c r="U263" s="10" t="s">
        <v>146</v>
      </c>
      <c r="V263" s="10" t="s">
        <v>147</v>
      </c>
      <c r="W263" s="5" t="str">
        <f>IF($D263="","",VLOOKUP($B263,メインシート!$B$13:$D$18,2,0))</f>
        <v>福島</v>
      </c>
      <c r="X263" s="5">
        <f t="shared" si="10"/>
        <v>60117</v>
      </c>
      <c r="Z263" s="1" t="s">
        <v>1005</v>
      </c>
    </row>
    <row r="264" spans="1:26" hidden="1" outlineLevel="1" x14ac:dyDescent="0.15">
      <c r="A264" s="9">
        <v>261</v>
      </c>
      <c r="B264" s="5">
        <f t="shared" si="7"/>
        <v>6</v>
      </c>
      <c r="C264" s="71">
        <f t="shared" si="9"/>
        <v>60120</v>
      </c>
      <c r="D264" s="74">
        <v>120</v>
      </c>
      <c r="E264" s="11" t="s">
        <v>148</v>
      </c>
      <c r="F264" s="11" t="s">
        <v>951</v>
      </c>
      <c r="G264" s="11" t="s">
        <v>952</v>
      </c>
      <c r="H264" s="11" t="s">
        <v>953</v>
      </c>
      <c r="I264" s="11"/>
      <c r="J264" s="11"/>
      <c r="K264" s="11"/>
      <c r="L264" s="11"/>
      <c r="M264" s="11"/>
      <c r="N264" s="11"/>
      <c r="O264" s="11"/>
      <c r="P264" s="11"/>
      <c r="Q264" s="11"/>
      <c r="R264" s="10"/>
      <c r="S264" s="10" t="s">
        <v>149</v>
      </c>
      <c r="T264" s="10" t="s">
        <v>150</v>
      </c>
      <c r="U264" s="10" t="s">
        <v>151</v>
      </c>
      <c r="V264" s="10" t="s">
        <v>152</v>
      </c>
      <c r="W264" s="5" t="str">
        <f>IF($D264="","",VLOOKUP($B264,メインシート!$B$13:$D$18,2,0))</f>
        <v>福島</v>
      </c>
      <c r="X264" s="5">
        <f t="shared" si="10"/>
        <v>60120</v>
      </c>
      <c r="Z264" s="1" t="s">
        <v>1006</v>
      </c>
    </row>
    <row r="265" spans="1:26" hidden="1" outlineLevel="1" x14ac:dyDescent="0.15">
      <c r="A265" s="9">
        <v>262</v>
      </c>
      <c r="B265" s="5">
        <f t="shared" si="7"/>
        <v>6</v>
      </c>
      <c r="C265" s="71">
        <f t="shared" si="9"/>
        <v>60121</v>
      </c>
      <c r="D265" s="74">
        <v>121</v>
      </c>
      <c r="E265" s="11" t="s">
        <v>153</v>
      </c>
      <c r="F265" s="11" t="s">
        <v>154</v>
      </c>
      <c r="G265" s="11" t="s">
        <v>155</v>
      </c>
      <c r="H265" s="11" t="s">
        <v>156</v>
      </c>
      <c r="I265" s="11"/>
      <c r="J265" s="11"/>
      <c r="K265" s="11"/>
      <c r="L265" s="11"/>
      <c r="M265" s="11"/>
      <c r="N265" s="11"/>
      <c r="O265" s="11"/>
      <c r="P265" s="11"/>
      <c r="Q265" s="11"/>
      <c r="R265" s="10"/>
      <c r="S265" s="10" t="s">
        <v>157</v>
      </c>
      <c r="T265" s="10" t="s">
        <v>158</v>
      </c>
      <c r="U265" s="10" t="s">
        <v>159</v>
      </c>
      <c r="V265" s="10" t="s">
        <v>160</v>
      </c>
      <c r="W265" s="5" t="str">
        <f>IF($D265="","",VLOOKUP($B265,メインシート!$B$13:$D$18,2,0))</f>
        <v>福島</v>
      </c>
      <c r="X265" s="5">
        <f t="shared" si="10"/>
        <v>60121</v>
      </c>
      <c r="Z265" s="1" t="s">
        <v>1007</v>
      </c>
    </row>
    <row r="266" spans="1:26" hidden="1" outlineLevel="1" x14ac:dyDescent="0.15">
      <c r="A266" s="9">
        <v>263</v>
      </c>
      <c r="B266" s="5">
        <f t="shared" si="7"/>
        <v>6</v>
      </c>
      <c r="C266" s="71">
        <f t="shared" si="9"/>
        <v>60123</v>
      </c>
      <c r="D266" s="74">
        <v>123</v>
      </c>
      <c r="E266" s="11" t="s">
        <v>954</v>
      </c>
      <c r="F266" s="11" t="s">
        <v>955</v>
      </c>
      <c r="G266" s="11" t="s">
        <v>956</v>
      </c>
      <c r="H266" s="11" t="s">
        <v>957</v>
      </c>
      <c r="I266" s="11"/>
      <c r="J266" s="11"/>
      <c r="K266" s="11"/>
      <c r="L266" s="11"/>
      <c r="M266" s="11"/>
      <c r="N266" s="11"/>
      <c r="O266" s="11"/>
      <c r="P266" s="11"/>
      <c r="Q266" s="11"/>
      <c r="R266" s="10"/>
      <c r="S266" s="10" t="s">
        <v>161</v>
      </c>
      <c r="T266" s="10" t="s">
        <v>162</v>
      </c>
      <c r="U266" s="10" t="s">
        <v>163</v>
      </c>
      <c r="V266" s="10" t="s">
        <v>958</v>
      </c>
      <c r="W266" s="5" t="str">
        <f>IF($D266="","",VLOOKUP($B266,メインシート!$B$13:$D$18,2,0))</f>
        <v>福島</v>
      </c>
      <c r="X266" s="5">
        <f t="shared" si="10"/>
        <v>60123</v>
      </c>
      <c r="Z266" s="1" t="s">
        <v>1008</v>
      </c>
    </row>
    <row r="267" spans="1:26" hidden="1" outlineLevel="1" x14ac:dyDescent="0.15">
      <c r="A267" s="9">
        <v>264</v>
      </c>
      <c r="B267" s="5">
        <f t="shared" si="7"/>
        <v>6</v>
      </c>
      <c r="C267" s="71">
        <f t="shared" si="9"/>
        <v>60124</v>
      </c>
      <c r="D267" s="74">
        <v>124</v>
      </c>
      <c r="E267" s="11" t="s">
        <v>164</v>
      </c>
      <c r="F267" s="11" t="s">
        <v>165</v>
      </c>
      <c r="G267" s="11" t="s">
        <v>166</v>
      </c>
      <c r="H267" s="11" t="s">
        <v>167</v>
      </c>
      <c r="I267" s="11"/>
      <c r="J267" s="11"/>
      <c r="K267" s="11"/>
      <c r="L267" s="11"/>
      <c r="M267" s="11"/>
      <c r="N267" s="11"/>
      <c r="O267" s="11"/>
      <c r="P267" s="11"/>
      <c r="Q267" s="11"/>
      <c r="R267" s="10"/>
      <c r="S267" s="10" t="s">
        <v>168</v>
      </c>
      <c r="T267" s="10" t="s">
        <v>169</v>
      </c>
      <c r="U267" s="10" t="s">
        <v>170</v>
      </c>
      <c r="V267" s="10" t="s">
        <v>171</v>
      </c>
      <c r="W267" s="5" t="str">
        <f>IF($D267="","",VLOOKUP($B267,メインシート!$B$13:$D$18,2,0))</f>
        <v>福島</v>
      </c>
      <c r="X267" s="5">
        <f t="shared" si="10"/>
        <v>60124</v>
      </c>
      <c r="Z267" s="1" t="s">
        <v>1009</v>
      </c>
    </row>
    <row r="268" spans="1:26" hidden="1" outlineLevel="1" x14ac:dyDescent="0.15">
      <c r="A268" s="9">
        <v>265</v>
      </c>
      <c r="B268" s="5">
        <f t="shared" si="7"/>
        <v>6</v>
      </c>
      <c r="C268" s="71">
        <f t="shared" si="9"/>
        <v>60125</v>
      </c>
      <c r="D268" s="74">
        <v>125</v>
      </c>
      <c r="E268" s="11" t="s">
        <v>172</v>
      </c>
      <c r="F268" s="11" t="s">
        <v>173</v>
      </c>
      <c r="G268" s="11" t="s">
        <v>174</v>
      </c>
      <c r="H268" s="11" t="s">
        <v>175</v>
      </c>
      <c r="I268" s="11"/>
      <c r="J268" s="11"/>
      <c r="K268" s="11"/>
      <c r="L268" s="11"/>
      <c r="M268" s="11"/>
      <c r="N268" s="11"/>
      <c r="O268" s="11"/>
      <c r="P268" s="11"/>
      <c r="Q268" s="11"/>
      <c r="R268" s="10"/>
      <c r="S268" s="10" t="s">
        <v>176</v>
      </c>
      <c r="T268" s="10" t="s">
        <v>177</v>
      </c>
      <c r="U268" s="10" t="s">
        <v>178</v>
      </c>
      <c r="V268" s="10" t="s">
        <v>179</v>
      </c>
      <c r="W268" s="5" t="str">
        <f>IF($D268="","",VLOOKUP($B268,メインシート!$B$13:$D$18,2,0))</f>
        <v>福島</v>
      </c>
      <c r="X268" s="5">
        <f t="shared" si="10"/>
        <v>60125</v>
      </c>
      <c r="Z268" s="1" t="s">
        <v>1010</v>
      </c>
    </row>
    <row r="269" spans="1:26" hidden="1" outlineLevel="1" x14ac:dyDescent="0.15">
      <c r="A269" s="9">
        <v>266</v>
      </c>
      <c r="B269" s="5">
        <f t="shared" ref="B269:B332" si="11">B268</f>
        <v>6</v>
      </c>
      <c r="C269" s="71">
        <f t="shared" si="9"/>
        <v>60126</v>
      </c>
      <c r="D269" s="74">
        <v>126</v>
      </c>
      <c r="E269" s="11" t="s">
        <v>180</v>
      </c>
      <c r="F269" s="11" t="s">
        <v>181</v>
      </c>
      <c r="G269" s="11" t="s">
        <v>182</v>
      </c>
      <c r="H269" s="11" t="s">
        <v>183</v>
      </c>
      <c r="I269" s="11"/>
      <c r="J269" s="11"/>
      <c r="K269" s="11"/>
      <c r="L269" s="11"/>
      <c r="M269" s="11"/>
      <c r="N269" s="11"/>
      <c r="O269" s="11"/>
      <c r="P269" s="11"/>
      <c r="Q269" s="11"/>
      <c r="R269" s="10"/>
      <c r="S269" s="10" t="s">
        <v>184</v>
      </c>
      <c r="T269" s="10" t="s">
        <v>185</v>
      </c>
      <c r="U269" s="10" t="s">
        <v>186</v>
      </c>
      <c r="V269" s="10" t="s">
        <v>187</v>
      </c>
      <c r="W269" s="5" t="str">
        <f>IF($D269="","",VLOOKUP($B269,メインシート!$B$13:$D$18,2,0))</f>
        <v>福島</v>
      </c>
      <c r="X269" s="5">
        <f t="shared" si="10"/>
        <v>60126</v>
      </c>
      <c r="Z269" s="1" t="s">
        <v>1011</v>
      </c>
    </row>
    <row r="270" spans="1:26" hidden="1" outlineLevel="1" x14ac:dyDescent="0.15">
      <c r="A270" s="9">
        <v>267</v>
      </c>
      <c r="B270" s="5">
        <f t="shared" si="11"/>
        <v>6</v>
      </c>
      <c r="C270" s="71">
        <f t="shared" si="9"/>
        <v>60127</v>
      </c>
      <c r="D270" s="74">
        <v>127</v>
      </c>
      <c r="E270" s="11" t="s">
        <v>188</v>
      </c>
      <c r="F270" s="11" t="s">
        <v>189</v>
      </c>
      <c r="G270" s="11" t="s">
        <v>190</v>
      </c>
      <c r="H270" s="11" t="s">
        <v>191</v>
      </c>
      <c r="I270" s="11"/>
      <c r="J270" s="11"/>
      <c r="K270" s="11"/>
      <c r="L270" s="11"/>
      <c r="M270" s="11"/>
      <c r="N270" s="11"/>
      <c r="O270" s="11"/>
      <c r="P270" s="11"/>
      <c r="Q270" s="11"/>
      <c r="R270" s="10"/>
      <c r="S270" s="10" t="s">
        <v>192</v>
      </c>
      <c r="T270" s="10" t="s">
        <v>193</v>
      </c>
      <c r="U270" s="10" t="s">
        <v>194</v>
      </c>
      <c r="V270" s="10" t="s">
        <v>195</v>
      </c>
      <c r="W270" s="5" t="str">
        <f>IF($D270="","",VLOOKUP($B270,メインシート!$B$13:$D$18,2,0))</f>
        <v>福島</v>
      </c>
      <c r="X270" s="5">
        <f t="shared" si="10"/>
        <v>60127</v>
      </c>
      <c r="Z270" s="1" t="s">
        <v>1012</v>
      </c>
    </row>
    <row r="271" spans="1:26" hidden="1" outlineLevel="1" x14ac:dyDescent="0.15">
      <c r="A271" s="9">
        <v>268</v>
      </c>
      <c r="B271" s="5">
        <f t="shared" si="11"/>
        <v>6</v>
      </c>
      <c r="C271" s="71">
        <f t="shared" si="9"/>
        <v>60129</v>
      </c>
      <c r="D271" s="74">
        <v>129</v>
      </c>
      <c r="E271" s="11" t="s">
        <v>196</v>
      </c>
      <c r="F271" s="11" t="s">
        <v>197</v>
      </c>
      <c r="G271" s="11" t="s">
        <v>198</v>
      </c>
      <c r="H271" s="11" t="s">
        <v>199</v>
      </c>
      <c r="I271" s="11"/>
      <c r="J271" s="11"/>
      <c r="K271" s="11"/>
      <c r="L271" s="11"/>
      <c r="M271" s="11"/>
      <c r="N271" s="11"/>
      <c r="O271" s="11"/>
      <c r="P271" s="11"/>
      <c r="Q271" s="11"/>
      <c r="R271" s="10"/>
      <c r="S271" s="10" t="s">
        <v>200</v>
      </c>
      <c r="T271" s="10" t="s">
        <v>201</v>
      </c>
      <c r="U271" s="10" t="s">
        <v>202</v>
      </c>
      <c r="V271" s="10" t="s">
        <v>203</v>
      </c>
      <c r="W271" s="5" t="str">
        <f>IF($D271="","",VLOOKUP($B271,メインシート!$B$13:$D$18,2,0))</f>
        <v>福島</v>
      </c>
      <c r="X271" s="5">
        <f t="shared" si="10"/>
        <v>60129</v>
      </c>
      <c r="Z271" s="1" t="s">
        <v>1013</v>
      </c>
    </row>
    <row r="272" spans="1:26" hidden="1" outlineLevel="1" x14ac:dyDescent="0.15">
      <c r="A272" s="9">
        <v>269</v>
      </c>
      <c r="B272" s="5">
        <f t="shared" si="11"/>
        <v>6</v>
      </c>
      <c r="C272" s="71">
        <f t="shared" si="9"/>
        <v>60130</v>
      </c>
      <c r="D272" s="74">
        <v>130</v>
      </c>
      <c r="E272" s="11" t="s">
        <v>204</v>
      </c>
      <c r="F272" s="11" t="s">
        <v>205</v>
      </c>
      <c r="G272" s="11" t="s">
        <v>206</v>
      </c>
      <c r="H272" s="11" t="s">
        <v>85</v>
      </c>
      <c r="I272" s="11"/>
      <c r="J272" s="11"/>
      <c r="K272" s="11"/>
      <c r="L272" s="11"/>
      <c r="M272" s="11"/>
      <c r="N272" s="11"/>
      <c r="O272" s="11"/>
      <c r="P272" s="11"/>
      <c r="Q272" s="11"/>
      <c r="R272" s="10"/>
      <c r="S272" s="10" t="s">
        <v>207</v>
      </c>
      <c r="T272" s="10" t="s">
        <v>208</v>
      </c>
      <c r="U272" s="10" t="s">
        <v>209</v>
      </c>
      <c r="V272" s="10" t="s">
        <v>210</v>
      </c>
      <c r="W272" s="5" t="str">
        <f>IF($D272="","",VLOOKUP($B272,メインシート!$B$13:$D$18,2,0))</f>
        <v>福島</v>
      </c>
      <c r="X272" s="5">
        <f t="shared" si="10"/>
        <v>60130</v>
      </c>
      <c r="Z272" s="1" t="s">
        <v>1014</v>
      </c>
    </row>
    <row r="273" spans="1:26" hidden="1" outlineLevel="1" x14ac:dyDescent="0.15">
      <c r="A273" s="9">
        <v>270</v>
      </c>
      <c r="B273" s="5">
        <f t="shared" si="11"/>
        <v>6</v>
      </c>
      <c r="C273" s="71">
        <f t="shared" si="9"/>
        <v>60131</v>
      </c>
      <c r="D273" s="74">
        <v>131</v>
      </c>
      <c r="E273" s="11" t="s">
        <v>211</v>
      </c>
      <c r="F273" s="11" t="s">
        <v>212</v>
      </c>
      <c r="G273" s="11" t="s">
        <v>213</v>
      </c>
      <c r="H273" s="11" t="s">
        <v>214</v>
      </c>
      <c r="I273" s="11"/>
      <c r="J273" s="11"/>
      <c r="K273" s="11"/>
      <c r="L273" s="11"/>
      <c r="M273" s="11"/>
      <c r="N273" s="11"/>
      <c r="O273" s="11"/>
      <c r="P273" s="11"/>
      <c r="Q273" s="11"/>
      <c r="R273" s="10"/>
      <c r="S273" s="10" t="s">
        <v>215</v>
      </c>
      <c r="T273" s="10" t="s">
        <v>216</v>
      </c>
      <c r="U273" s="10" t="s">
        <v>217</v>
      </c>
      <c r="V273" s="10" t="s">
        <v>218</v>
      </c>
      <c r="W273" s="5" t="str">
        <f>IF($D273="","",VLOOKUP($B273,メインシート!$B$13:$D$18,2,0))</f>
        <v>福島</v>
      </c>
      <c r="X273" s="5">
        <f t="shared" si="10"/>
        <v>60131</v>
      </c>
      <c r="Z273" s="1" t="s">
        <v>1015</v>
      </c>
    </row>
    <row r="274" spans="1:26" hidden="1" outlineLevel="1" x14ac:dyDescent="0.15">
      <c r="A274" s="9">
        <v>271</v>
      </c>
      <c r="B274" s="5">
        <f t="shared" si="11"/>
        <v>6</v>
      </c>
      <c r="C274" s="71">
        <f t="shared" si="9"/>
        <v>60133</v>
      </c>
      <c r="D274" s="74">
        <v>133</v>
      </c>
      <c r="E274" s="11" t="s">
        <v>219</v>
      </c>
      <c r="F274" s="11" t="s">
        <v>220</v>
      </c>
      <c r="G274" s="11" t="s">
        <v>221</v>
      </c>
      <c r="H274" s="11" t="s">
        <v>222</v>
      </c>
      <c r="I274" s="11"/>
      <c r="J274" s="11"/>
      <c r="K274" s="11"/>
      <c r="L274" s="11"/>
      <c r="M274" s="11"/>
      <c r="N274" s="11"/>
      <c r="O274" s="11"/>
      <c r="P274" s="11"/>
      <c r="Q274" s="11"/>
      <c r="R274" s="10"/>
      <c r="S274" s="10" t="s">
        <v>223</v>
      </c>
      <c r="T274" s="10" t="s">
        <v>224</v>
      </c>
      <c r="U274" s="10" t="s">
        <v>225</v>
      </c>
      <c r="V274" s="10" t="s">
        <v>226</v>
      </c>
      <c r="W274" s="5" t="str">
        <f>IF($D274="","",VLOOKUP($B274,メインシート!$B$13:$D$18,2,0))</f>
        <v>福島</v>
      </c>
      <c r="X274" s="5">
        <f t="shared" si="10"/>
        <v>60133</v>
      </c>
      <c r="Z274" s="1" t="s">
        <v>1016</v>
      </c>
    </row>
    <row r="275" spans="1:26" hidden="1" outlineLevel="1" x14ac:dyDescent="0.15">
      <c r="A275" s="9">
        <v>272</v>
      </c>
      <c r="B275" s="5">
        <f t="shared" si="11"/>
        <v>6</v>
      </c>
      <c r="C275" s="71">
        <f t="shared" si="9"/>
        <v>60134</v>
      </c>
      <c r="D275" s="74">
        <v>134</v>
      </c>
      <c r="E275" s="11" t="s">
        <v>227</v>
      </c>
      <c r="F275" s="11" t="s">
        <v>228</v>
      </c>
      <c r="G275" s="11" t="s">
        <v>229</v>
      </c>
      <c r="H275" s="11" t="s">
        <v>230</v>
      </c>
      <c r="I275" s="11"/>
      <c r="J275" s="11"/>
      <c r="K275" s="11"/>
      <c r="L275" s="11"/>
      <c r="M275" s="11"/>
      <c r="N275" s="11"/>
      <c r="O275" s="11"/>
      <c r="P275" s="11"/>
      <c r="Q275" s="11"/>
      <c r="R275" s="10"/>
      <c r="S275" s="10" t="s">
        <v>231</v>
      </c>
      <c r="T275" s="10" t="s">
        <v>232</v>
      </c>
      <c r="U275" s="10" t="s">
        <v>233</v>
      </c>
      <c r="V275" s="10" t="s">
        <v>234</v>
      </c>
      <c r="W275" s="5" t="str">
        <f>IF($D275="","",VLOOKUP($B275,メインシート!$B$13:$D$18,2,0))</f>
        <v>福島</v>
      </c>
      <c r="X275" s="5">
        <f t="shared" si="10"/>
        <v>60134</v>
      </c>
      <c r="Z275" s="1" t="s">
        <v>1017</v>
      </c>
    </row>
    <row r="276" spans="1:26" hidden="1" outlineLevel="1" x14ac:dyDescent="0.15">
      <c r="A276" s="9">
        <v>273</v>
      </c>
      <c r="B276" s="5">
        <f t="shared" si="11"/>
        <v>6</v>
      </c>
      <c r="C276" s="71">
        <f t="shared" si="9"/>
        <v>60138</v>
      </c>
      <c r="D276" s="74">
        <v>138</v>
      </c>
      <c r="E276" s="11" t="s">
        <v>235</v>
      </c>
      <c r="F276" s="11" t="s">
        <v>236</v>
      </c>
      <c r="G276" s="11" t="s">
        <v>237</v>
      </c>
      <c r="H276" s="11" t="s">
        <v>238</v>
      </c>
      <c r="I276" s="11"/>
      <c r="J276" s="11"/>
      <c r="K276" s="11"/>
      <c r="L276" s="11"/>
      <c r="M276" s="11"/>
      <c r="N276" s="11"/>
      <c r="O276" s="11"/>
      <c r="P276" s="11"/>
      <c r="Q276" s="11"/>
      <c r="R276" s="10"/>
      <c r="S276" s="10" t="s">
        <v>239</v>
      </c>
      <c r="T276" s="10" t="s">
        <v>240</v>
      </c>
      <c r="U276" s="10" t="s">
        <v>241</v>
      </c>
      <c r="V276" s="10" t="s">
        <v>959</v>
      </c>
      <c r="W276" s="5" t="str">
        <f>IF($D276="","",VLOOKUP($B276,メインシート!$B$13:$D$18,2,0))</f>
        <v>福島</v>
      </c>
      <c r="X276" s="5">
        <f t="shared" si="10"/>
        <v>60138</v>
      </c>
      <c r="Z276" s="1" t="s">
        <v>1018</v>
      </c>
    </row>
    <row r="277" spans="1:26" hidden="1" outlineLevel="1" x14ac:dyDescent="0.15">
      <c r="A277" s="9">
        <v>274</v>
      </c>
      <c r="B277" s="5">
        <f t="shared" si="11"/>
        <v>6</v>
      </c>
      <c r="C277" s="71">
        <f t="shared" si="9"/>
        <v>60139</v>
      </c>
      <c r="D277" s="74">
        <v>139</v>
      </c>
      <c r="E277" s="11" t="s">
        <v>242</v>
      </c>
      <c r="F277" s="11" t="s">
        <v>243</v>
      </c>
      <c r="G277" s="11" t="s">
        <v>244</v>
      </c>
      <c r="H277" s="11" t="s">
        <v>245</v>
      </c>
      <c r="I277" s="11"/>
      <c r="J277" s="11"/>
      <c r="K277" s="11"/>
      <c r="L277" s="11"/>
      <c r="M277" s="11"/>
      <c r="N277" s="11"/>
      <c r="O277" s="11"/>
      <c r="P277" s="11"/>
      <c r="Q277" s="11"/>
      <c r="R277" s="10"/>
      <c r="S277" s="10" t="s">
        <v>246</v>
      </c>
      <c r="T277" s="10" t="s">
        <v>247</v>
      </c>
      <c r="U277" s="10" t="s">
        <v>248</v>
      </c>
      <c r="V277" s="10" t="s">
        <v>249</v>
      </c>
      <c r="W277" s="5" t="str">
        <f>IF($D277="","",VLOOKUP($B277,メインシート!$B$13:$D$18,2,0))</f>
        <v>福島</v>
      </c>
      <c r="X277" s="5">
        <f t="shared" si="10"/>
        <v>60139</v>
      </c>
      <c r="Z277" s="1" t="s">
        <v>1019</v>
      </c>
    </row>
    <row r="278" spans="1:26" hidden="1" outlineLevel="1" x14ac:dyDescent="0.15">
      <c r="A278" s="9">
        <v>275</v>
      </c>
      <c r="B278" s="5">
        <f t="shared" si="11"/>
        <v>6</v>
      </c>
      <c r="C278" s="71">
        <f t="shared" si="9"/>
        <v>60140</v>
      </c>
      <c r="D278" s="74">
        <v>140</v>
      </c>
      <c r="E278" s="11" t="s">
        <v>838</v>
      </c>
      <c r="F278" s="11" t="s">
        <v>839</v>
      </c>
      <c r="G278" s="11" t="s">
        <v>840</v>
      </c>
      <c r="H278" s="11" t="s">
        <v>841</v>
      </c>
      <c r="I278" s="11"/>
      <c r="J278" s="11"/>
      <c r="K278" s="11"/>
      <c r="L278" s="11"/>
      <c r="M278" s="11"/>
      <c r="N278" s="11"/>
      <c r="O278" s="11"/>
      <c r="P278" s="11"/>
      <c r="Q278" s="11"/>
      <c r="R278" s="10"/>
      <c r="S278" s="10" t="s">
        <v>842</v>
      </c>
      <c r="T278" s="10" t="s">
        <v>843</v>
      </c>
      <c r="U278" s="10" t="s">
        <v>844</v>
      </c>
      <c r="V278" s="10" t="s">
        <v>845</v>
      </c>
      <c r="W278" s="5" t="str">
        <f>IF($D278="","",VLOOKUP($B278,メインシート!$B$13:$D$18,2,0))</f>
        <v>福島</v>
      </c>
      <c r="X278" s="5">
        <f t="shared" si="10"/>
        <v>60140</v>
      </c>
      <c r="Z278" s="1" t="s">
        <v>1020</v>
      </c>
    </row>
    <row r="279" spans="1:26" hidden="1" outlineLevel="1" x14ac:dyDescent="0.15">
      <c r="A279" s="9">
        <v>276</v>
      </c>
      <c r="B279" s="5">
        <f t="shared" si="11"/>
        <v>6</v>
      </c>
      <c r="C279" s="71">
        <f t="shared" si="9"/>
        <v>60141</v>
      </c>
      <c r="D279" s="74">
        <v>141</v>
      </c>
      <c r="E279" s="11" t="s">
        <v>250</v>
      </c>
      <c r="F279" s="11" t="s">
        <v>251</v>
      </c>
      <c r="G279" s="11" t="s">
        <v>252</v>
      </c>
      <c r="H279" s="11" t="s">
        <v>253</v>
      </c>
      <c r="I279" s="11"/>
      <c r="J279" s="11"/>
      <c r="K279" s="11"/>
      <c r="L279" s="11"/>
      <c r="M279" s="11"/>
      <c r="N279" s="11"/>
      <c r="O279" s="11"/>
      <c r="P279" s="11"/>
      <c r="Q279" s="11"/>
      <c r="R279" s="10"/>
      <c r="S279" s="10" t="s">
        <v>254</v>
      </c>
      <c r="T279" s="10" t="s">
        <v>255</v>
      </c>
      <c r="U279" s="10" t="s">
        <v>256</v>
      </c>
      <c r="V279" s="10" t="s">
        <v>960</v>
      </c>
      <c r="W279" s="5" t="str">
        <f>IF($D279="","",VLOOKUP($B279,メインシート!$B$13:$D$18,2,0))</f>
        <v>福島</v>
      </c>
      <c r="X279" s="5">
        <f t="shared" si="10"/>
        <v>60141</v>
      </c>
      <c r="Z279" s="1" t="s">
        <v>1021</v>
      </c>
    </row>
    <row r="280" spans="1:26" hidden="1" outlineLevel="1" x14ac:dyDescent="0.15">
      <c r="A280" s="9">
        <v>277</v>
      </c>
      <c r="B280" s="5">
        <f t="shared" si="11"/>
        <v>6</v>
      </c>
      <c r="C280" s="71">
        <f t="shared" si="9"/>
        <v>60202</v>
      </c>
      <c r="D280" s="74">
        <v>202</v>
      </c>
      <c r="E280" s="11" t="s">
        <v>257</v>
      </c>
      <c r="F280" s="11" t="s">
        <v>258</v>
      </c>
      <c r="G280" s="11" t="s">
        <v>259</v>
      </c>
      <c r="H280" s="11" t="s">
        <v>260</v>
      </c>
      <c r="I280" s="11"/>
      <c r="J280" s="11"/>
      <c r="K280" s="11"/>
      <c r="L280" s="11"/>
      <c r="M280" s="11"/>
      <c r="N280" s="11"/>
      <c r="O280" s="11"/>
      <c r="P280" s="11"/>
      <c r="Q280" s="11"/>
      <c r="R280" s="10"/>
      <c r="S280" s="10" t="s">
        <v>261</v>
      </c>
      <c r="T280" s="10" t="s">
        <v>262</v>
      </c>
      <c r="U280" s="10" t="s">
        <v>263</v>
      </c>
      <c r="V280" s="10" t="s">
        <v>264</v>
      </c>
      <c r="W280" s="5" t="str">
        <f>IF($D280="","",VLOOKUP($B280,メインシート!$B$13:$D$18,2,0))</f>
        <v>福島</v>
      </c>
      <c r="X280" s="5">
        <f t="shared" si="10"/>
        <v>60202</v>
      </c>
      <c r="Z280" s="1" t="s">
        <v>1022</v>
      </c>
    </row>
    <row r="281" spans="1:26" hidden="1" outlineLevel="1" x14ac:dyDescent="0.15">
      <c r="A281" s="9">
        <v>278</v>
      </c>
      <c r="B281" s="5">
        <f t="shared" si="11"/>
        <v>6</v>
      </c>
      <c r="C281" s="71">
        <f t="shared" si="9"/>
        <v>60204</v>
      </c>
      <c r="D281" s="74">
        <v>204</v>
      </c>
      <c r="E281" s="11" t="s">
        <v>265</v>
      </c>
      <c r="F281" s="11" t="s">
        <v>266</v>
      </c>
      <c r="G281" s="11" t="s">
        <v>267</v>
      </c>
      <c r="H281" s="11" t="s">
        <v>268</v>
      </c>
      <c r="I281" s="11"/>
      <c r="J281" s="11"/>
      <c r="K281" s="11"/>
      <c r="L281" s="11"/>
      <c r="M281" s="11"/>
      <c r="N281" s="11"/>
      <c r="O281" s="11"/>
      <c r="P281" s="11"/>
      <c r="Q281" s="11"/>
      <c r="R281" s="10"/>
      <c r="S281" s="10" t="s">
        <v>269</v>
      </c>
      <c r="T281" s="10" t="s">
        <v>270</v>
      </c>
      <c r="U281" s="10" t="s">
        <v>271</v>
      </c>
      <c r="V281" s="10" t="s">
        <v>272</v>
      </c>
      <c r="W281" s="5" t="str">
        <f>IF($D281="","",VLOOKUP($B281,メインシート!$B$13:$D$18,2,0))</f>
        <v>福島</v>
      </c>
      <c r="X281" s="5">
        <f t="shared" si="10"/>
        <v>60204</v>
      </c>
      <c r="Z281" s="1" t="s">
        <v>1023</v>
      </c>
    </row>
    <row r="282" spans="1:26" hidden="1" outlineLevel="1" x14ac:dyDescent="0.15">
      <c r="A282" s="9">
        <v>279</v>
      </c>
      <c r="B282" s="5">
        <f t="shared" si="11"/>
        <v>6</v>
      </c>
      <c r="C282" s="71">
        <f t="shared" si="9"/>
        <v>60212</v>
      </c>
      <c r="D282" s="74">
        <v>212</v>
      </c>
      <c r="E282" s="11" t="s">
        <v>273</v>
      </c>
      <c r="F282" s="11" t="s">
        <v>274</v>
      </c>
      <c r="G282" s="11" t="s">
        <v>275</v>
      </c>
      <c r="H282" s="11" t="s">
        <v>276</v>
      </c>
      <c r="I282" s="11"/>
      <c r="J282" s="11"/>
      <c r="K282" s="11"/>
      <c r="L282" s="11"/>
      <c r="M282" s="11"/>
      <c r="N282" s="11"/>
      <c r="O282" s="11"/>
      <c r="P282" s="11"/>
      <c r="Q282" s="11"/>
      <c r="R282" s="10"/>
      <c r="S282" s="10" t="s">
        <v>277</v>
      </c>
      <c r="T282" s="10" t="s">
        <v>278</v>
      </c>
      <c r="U282" s="10" t="s">
        <v>279</v>
      </c>
      <c r="V282" s="10" t="s">
        <v>280</v>
      </c>
      <c r="W282" s="5" t="str">
        <f>IF($D282="","",VLOOKUP($B282,メインシート!$B$13:$D$18,2,0))</f>
        <v>福島</v>
      </c>
      <c r="X282" s="5">
        <f t="shared" si="10"/>
        <v>60212</v>
      </c>
      <c r="Z282" s="1" t="s">
        <v>1024</v>
      </c>
    </row>
    <row r="283" spans="1:26" hidden="1" outlineLevel="1" x14ac:dyDescent="0.15">
      <c r="A283" s="9">
        <v>280</v>
      </c>
      <c r="B283" s="5">
        <f t="shared" si="11"/>
        <v>6</v>
      </c>
      <c r="C283" s="71">
        <f t="shared" si="9"/>
        <v>60215</v>
      </c>
      <c r="D283" s="74">
        <v>215</v>
      </c>
      <c r="E283" s="11" t="s">
        <v>281</v>
      </c>
      <c r="F283" s="11" t="s">
        <v>282</v>
      </c>
      <c r="G283" s="11" t="s">
        <v>283</v>
      </c>
      <c r="H283" s="11" t="s">
        <v>284</v>
      </c>
      <c r="I283" s="11"/>
      <c r="J283" s="11"/>
      <c r="K283" s="11"/>
      <c r="L283" s="11"/>
      <c r="M283" s="11"/>
      <c r="N283" s="11"/>
      <c r="O283" s="11"/>
      <c r="P283" s="11"/>
      <c r="Q283" s="11"/>
      <c r="R283" s="10"/>
      <c r="S283" s="10" t="s">
        <v>285</v>
      </c>
      <c r="T283" s="10" t="s">
        <v>285</v>
      </c>
      <c r="U283" s="10" t="s">
        <v>286</v>
      </c>
      <c r="V283" s="10" t="s">
        <v>287</v>
      </c>
      <c r="W283" s="5" t="str">
        <f>IF($D283="","",VLOOKUP($B283,メインシート!$B$13:$D$18,2,0))</f>
        <v>福島</v>
      </c>
      <c r="X283" s="5">
        <f t="shared" si="10"/>
        <v>60215</v>
      </c>
      <c r="Z283" s="1" t="s">
        <v>1025</v>
      </c>
    </row>
    <row r="284" spans="1:26" hidden="1" outlineLevel="1" x14ac:dyDescent="0.15">
      <c r="A284" s="9">
        <v>281</v>
      </c>
      <c r="B284" s="5">
        <f t="shared" si="11"/>
        <v>6</v>
      </c>
      <c r="C284" s="71">
        <f t="shared" si="9"/>
        <v>60217</v>
      </c>
      <c r="D284" s="74">
        <v>217</v>
      </c>
      <c r="E284" s="11" t="s">
        <v>961</v>
      </c>
      <c r="F284" s="11" t="s">
        <v>962</v>
      </c>
      <c r="G284" s="11" t="s">
        <v>963</v>
      </c>
      <c r="H284" s="11" t="s">
        <v>964</v>
      </c>
      <c r="I284" s="11"/>
      <c r="J284" s="11"/>
      <c r="K284" s="11"/>
      <c r="L284" s="11"/>
      <c r="M284" s="11"/>
      <c r="N284" s="11"/>
      <c r="O284" s="11"/>
      <c r="P284" s="11"/>
      <c r="Q284" s="11"/>
      <c r="R284" s="10"/>
      <c r="S284" s="10" t="s">
        <v>288</v>
      </c>
      <c r="T284" s="10" t="s">
        <v>289</v>
      </c>
      <c r="U284" s="10" t="s">
        <v>286</v>
      </c>
      <c r="V284" s="10" t="s">
        <v>290</v>
      </c>
      <c r="W284" s="5" t="str">
        <f>IF($D284="","",VLOOKUP($B284,メインシート!$B$13:$D$18,2,0))</f>
        <v>福島</v>
      </c>
      <c r="X284" s="5">
        <f t="shared" si="10"/>
        <v>60217</v>
      </c>
      <c r="Z284" s="1" t="s">
        <v>1026</v>
      </c>
    </row>
    <row r="285" spans="1:26" hidden="1" outlineLevel="1" x14ac:dyDescent="0.15">
      <c r="A285" s="9">
        <v>282</v>
      </c>
      <c r="B285" s="5">
        <f t="shared" si="11"/>
        <v>6</v>
      </c>
      <c r="C285" s="71">
        <f t="shared" si="9"/>
        <v>60218</v>
      </c>
      <c r="D285" s="74">
        <v>218</v>
      </c>
      <c r="E285" s="11" t="s">
        <v>291</v>
      </c>
      <c r="F285" s="11" t="s">
        <v>292</v>
      </c>
      <c r="G285" s="11" t="s">
        <v>293</v>
      </c>
      <c r="H285" s="11" t="s">
        <v>294</v>
      </c>
      <c r="I285" s="11"/>
      <c r="J285" s="11"/>
      <c r="K285" s="11"/>
      <c r="L285" s="11"/>
      <c r="M285" s="11"/>
      <c r="N285" s="11"/>
      <c r="O285" s="11"/>
      <c r="P285" s="11"/>
      <c r="Q285" s="11"/>
      <c r="R285" s="10"/>
      <c r="S285" s="10" t="s">
        <v>295</v>
      </c>
      <c r="T285" s="10" t="s">
        <v>296</v>
      </c>
      <c r="U285" s="10" t="s">
        <v>297</v>
      </c>
      <c r="V285" s="10" t="s">
        <v>298</v>
      </c>
      <c r="W285" s="5" t="str">
        <f>IF($D285="","",VLOOKUP($B285,メインシート!$B$13:$D$18,2,0))</f>
        <v>福島</v>
      </c>
      <c r="X285" s="5">
        <f t="shared" si="10"/>
        <v>60218</v>
      </c>
      <c r="Z285" s="1" t="s">
        <v>1027</v>
      </c>
    </row>
    <row r="286" spans="1:26" hidden="1" outlineLevel="1" x14ac:dyDescent="0.15">
      <c r="A286" s="9">
        <v>283</v>
      </c>
      <c r="B286" s="5">
        <f t="shared" si="11"/>
        <v>6</v>
      </c>
      <c r="C286" s="71">
        <f t="shared" si="9"/>
        <v>60220</v>
      </c>
      <c r="D286" s="74">
        <v>220</v>
      </c>
      <c r="E286" s="11" t="s">
        <v>299</v>
      </c>
      <c r="F286" s="11" t="s">
        <v>300</v>
      </c>
      <c r="G286" s="11" t="s">
        <v>301</v>
      </c>
      <c r="H286" s="11" t="s">
        <v>302</v>
      </c>
      <c r="I286" s="11"/>
      <c r="J286" s="11"/>
      <c r="K286" s="11"/>
      <c r="L286" s="11"/>
      <c r="M286" s="11"/>
      <c r="N286" s="11"/>
      <c r="O286" s="11"/>
      <c r="P286" s="11"/>
      <c r="Q286" s="11"/>
      <c r="R286" s="10"/>
      <c r="S286" s="10" t="s">
        <v>303</v>
      </c>
      <c r="T286" s="10" t="s">
        <v>304</v>
      </c>
      <c r="U286" s="10" t="s">
        <v>305</v>
      </c>
      <c r="V286" s="10" t="s">
        <v>306</v>
      </c>
      <c r="W286" s="5" t="str">
        <f>IF($D286="","",VLOOKUP($B286,メインシート!$B$13:$D$18,2,0))</f>
        <v>福島</v>
      </c>
      <c r="X286" s="5">
        <f t="shared" si="10"/>
        <v>60220</v>
      </c>
      <c r="Z286" s="1" t="s">
        <v>1028</v>
      </c>
    </row>
    <row r="287" spans="1:26" hidden="1" outlineLevel="1" x14ac:dyDescent="0.15">
      <c r="A287" s="9">
        <v>284</v>
      </c>
      <c r="B287" s="5">
        <f t="shared" si="11"/>
        <v>6</v>
      </c>
      <c r="C287" s="71">
        <f t="shared" si="9"/>
        <v>60221</v>
      </c>
      <c r="D287" s="74">
        <v>221</v>
      </c>
      <c r="E287" s="11" t="s">
        <v>307</v>
      </c>
      <c r="F287" s="11" t="s">
        <v>308</v>
      </c>
      <c r="G287" s="11" t="s">
        <v>309</v>
      </c>
      <c r="H287" s="11" t="s">
        <v>310</v>
      </c>
      <c r="I287" s="11"/>
      <c r="J287" s="11"/>
      <c r="K287" s="11"/>
      <c r="L287" s="11"/>
      <c r="M287" s="11"/>
      <c r="N287" s="11"/>
      <c r="O287" s="11"/>
      <c r="P287" s="11"/>
      <c r="Q287" s="11"/>
      <c r="R287" s="10"/>
      <c r="S287" s="10" t="s">
        <v>311</v>
      </c>
      <c r="T287" s="10" t="s">
        <v>312</v>
      </c>
      <c r="U287" s="10" t="s">
        <v>313</v>
      </c>
      <c r="V287" s="10" t="s">
        <v>314</v>
      </c>
      <c r="W287" s="5" t="str">
        <f>IF($D287="","",VLOOKUP($B287,メインシート!$B$13:$D$18,2,0))</f>
        <v>福島</v>
      </c>
      <c r="X287" s="5">
        <f t="shared" si="10"/>
        <v>60221</v>
      </c>
      <c r="Z287" s="1" t="s">
        <v>1029</v>
      </c>
    </row>
    <row r="288" spans="1:26" hidden="1" outlineLevel="1" x14ac:dyDescent="0.15">
      <c r="A288" s="9">
        <v>285</v>
      </c>
      <c r="B288" s="5">
        <f t="shared" si="11"/>
        <v>6</v>
      </c>
      <c r="C288" s="71">
        <f t="shared" si="9"/>
        <v>60225</v>
      </c>
      <c r="D288" s="74">
        <v>225</v>
      </c>
      <c r="E288" s="11" t="s">
        <v>315</v>
      </c>
      <c r="F288" s="11" t="s">
        <v>316</v>
      </c>
      <c r="G288" s="11" t="s">
        <v>317</v>
      </c>
      <c r="H288" s="11" t="s">
        <v>318</v>
      </c>
      <c r="I288" s="11"/>
      <c r="J288" s="11"/>
      <c r="K288" s="11"/>
      <c r="L288" s="11"/>
      <c r="M288" s="11"/>
      <c r="N288" s="11"/>
      <c r="O288" s="11"/>
      <c r="P288" s="11"/>
      <c r="Q288" s="11"/>
      <c r="R288" s="10"/>
      <c r="S288" s="10" t="s">
        <v>319</v>
      </c>
      <c r="T288" s="10" t="s">
        <v>320</v>
      </c>
      <c r="U288" s="10" t="s">
        <v>321</v>
      </c>
      <c r="V288" s="10" t="s">
        <v>322</v>
      </c>
      <c r="W288" s="5" t="str">
        <f>IF($D288="","",VLOOKUP($B288,メインシート!$B$13:$D$18,2,0))</f>
        <v>福島</v>
      </c>
      <c r="X288" s="5">
        <f t="shared" si="10"/>
        <v>60225</v>
      </c>
      <c r="Z288" s="1" t="s">
        <v>1030</v>
      </c>
    </row>
    <row r="289" spans="1:26" hidden="1" outlineLevel="1" x14ac:dyDescent="0.15">
      <c r="A289" s="9">
        <v>286</v>
      </c>
      <c r="B289" s="5">
        <f t="shared" si="11"/>
        <v>6</v>
      </c>
      <c r="C289" s="71">
        <f t="shared" si="9"/>
        <v>60229</v>
      </c>
      <c r="D289" s="73">
        <v>229</v>
      </c>
      <c r="E289" s="11" t="s">
        <v>323</v>
      </c>
      <c r="F289" s="11" t="s">
        <v>324</v>
      </c>
      <c r="G289" s="11" t="s">
        <v>325</v>
      </c>
      <c r="H289" s="11" t="s">
        <v>326</v>
      </c>
      <c r="I289" s="11"/>
      <c r="J289" s="11"/>
      <c r="K289" s="11"/>
      <c r="L289" s="11"/>
      <c r="M289" s="11"/>
      <c r="N289" s="11"/>
      <c r="O289" s="11"/>
      <c r="P289" s="11"/>
      <c r="Q289" s="11"/>
      <c r="R289" s="9"/>
      <c r="S289" s="9" t="s">
        <v>327</v>
      </c>
      <c r="T289" s="9" t="s">
        <v>328</v>
      </c>
      <c r="U289" s="9" t="s">
        <v>329</v>
      </c>
      <c r="V289" s="9" t="s">
        <v>330</v>
      </c>
      <c r="W289" s="5" t="str">
        <f>IF($D289="","",VLOOKUP($B289,メインシート!$B$13:$D$18,2,0))</f>
        <v>福島</v>
      </c>
      <c r="X289" s="5">
        <f t="shared" si="10"/>
        <v>60229</v>
      </c>
      <c r="Z289" s="1" t="s">
        <v>1031</v>
      </c>
    </row>
    <row r="290" spans="1:26" hidden="1" outlineLevel="1" x14ac:dyDescent="0.15">
      <c r="A290" s="9">
        <v>287</v>
      </c>
      <c r="B290" s="5">
        <f t="shared" si="11"/>
        <v>6</v>
      </c>
      <c r="C290" s="71">
        <f t="shared" si="9"/>
        <v>60230</v>
      </c>
      <c r="D290" s="74">
        <v>230</v>
      </c>
      <c r="E290" s="11" t="s">
        <v>331</v>
      </c>
      <c r="F290" s="11" t="s">
        <v>332</v>
      </c>
      <c r="G290" s="11" t="s">
        <v>333</v>
      </c>
      <c r="H290" s="11" t="s">
        <v>334</v>
      </c>
      <c r="I290" s="11"/>
      <c r="J290" s="11"/>
      <c r="K290" s="11"/>
      <c r="L290" s="11"/>
      <c r="M290" s="11"/>
      <c r="N290" s="11"/>
      <c r="O290" s="11"/>
      <c r="P290" s="11"/>
      <c r="Q290" s="11"/>
      <c r="R290" s="10"/>
      <c r="S290" s="10" t="s">
        <v>335</v>
      </c>
      <c r="T290" s="10" t="s">
        <v>336</v>
      </c>
      <c r="U290" s="10" t="s">
        <v>337</v>
      </c>
      <c r="V290" s="10" t="s">
        <v>338</v>
      </c>
      <c r="W290" s="5" t="str">
        <f>IF($D290="","",VLOOKUP($B290,メインシート!$B$13:$D$18,2,0))</f>
        <v>福島</v>
      </c>
      <c r="X290" s="5">
        <f t="shared" si="10"/>
        <v>60230</v>
      </c>
      <c r="Z290" s="1" t="s">
        <v>1032</v>
      </c>
    </row>
    <row r="291" spans="1:26" hidden="1" outlineLevel="1" x14ac:dyDescent="0.15">
      <c r="A291" s="9">
        <v>288</v>
      </c>
      <c r="B291" s="5">
        <f t="shared" si="11"/>
        <v>6</v>
      </c>
      <c r="C291" s="71">
        <f t="shared" si="9"/>
        <v>60231</v>
      </c>
      <c r="D291" s="74">
        <v>231</v>
      </c>
      <c r="E291" s="11" t="s">
        <v>339</v>
      </c>
      <c r="F291" s="11" t="s">
        <v>340</v>
      </c>
      <c r="G291" s="11" t="s">
        <v>341</v>
      </c>
      <c r="H291" s="11" t="s">
        <v>342</v>
      </c>
      <c r="I291" s="11"/>
      <c r="J291" s="11"/>
      <c r="K291" s="11"/>
      <c r="L291" s="11"/>
      <c r="M291" s="11"/>
      <c r="N291" s="11"/>
      <c r="O291" s="11"/>
      <c r="P291" s="11"/>
      <c r="Q291" s="11"/>
      <c r="R291" s="10"/>
      <c r="S291" s="10" t="s">
        <v>343</v>
      </c>
      <c r="T291" s="10" t="s">
        <v>344</v>
      </c>
      <c r="U291" s="10" t="s">
        <v>345</v>
      </c>
      <c r="V291" s="10" t="s">
        <v>346</v>
      </c>
      <c r="W291" s="5" t="str">
        <f>IF($D291="","",VLOOKUP($B291,メインシート!$B$13:$D$18,2,0))</f>
        <v>福島</v>
      </c>
      <c r="X291" s="5">
        <f t="shared" si="10"/>
        <v>60231</v>
      </c>
      <c r="Z291" s="1" t="s">
        <v>1033</v>
      </c>
    </row>
    <row r="292" spans="1:26" hidden="1" outlineLevel="1" x14ac:dyDescent="0.15">
      <c r="A292" s="9">
        <v>289</v>
      </c>
      <c r="B292" s="5">
        <f t="shared" si="11"/>
        <v>6</v>
      </c>
      <c r="C292" s="71">
        <f t="shared" si="9"/>
        <v>60235</v>
      </c>
      <c r="D292" s="74">
        <v>235</v>
      </c>
      <c r="E292" s="11" t="s">
        <v>347</v>
      </c>
      <c r="F292" s="11" t="s">
        <v>348</v>
      </c>
      <c r="G292" s="11" t="s">
        <v>349</v>
      </c>
      <c r="H292" s="11" t="s">
        <v>350</v>
      </c>
      <c r="I292" s="11"/>
      <c r="J292" s="11"/>
      <c r="K292" s="11"/>
      <c r="L292" s="11"/>
      <c r="M292" s="11"/>
      <c r="N292" s="11"/>
      <c r="O292" s="11"/>
      <c r="P292" s="11"/>
      <c r="Q292" s="11"/>
      <c r="R292" s="10"/>
      <c r="S292" s="10" t="s">
        <v>351</v>
      </c>
      <c r="T292" s="10" t="s">
        <v>352</v>
      </c>
      <c r="U292" s="10" t="s">
        <v>353</v>
      </c>
      <c r="V292" s="10" t="s">
        <v>354</v>
      </c>
      <c r="W292" s="5" t="str">
        <f>IF($D292="","",VLOOKUP($B292,メインシート!$B$13:$D$18,2,0))</f>
        <v>福島</v>
      </c>
      <c r="X292" s="5">
        <f t="shared" si="10"/>
        <v>60235</v>
      </c>
      <c r="Z292" s="1" t="s">
        <v>1034</v>
      </c>
    </row>
    <row r="293" spans="1:26" hidden="1" outlineLevel="1" x14ac:dyDescent="0.15">
      <c r="A293" s="9">
        <v>290</v>
      </c>
      <c r="B293" s="5">
        <f t="shared" si="11"/>
        <v>6</v>
      </c>
      <c r="C293" s="71">
        <f t="shared" si="9"/>
        <v>60237</v>
      </c>
      <c r="D293" s="74">
        <v>237</v>
      </c>
      <c r="E293" s="11" t="s">
        <v>355</v>
      </c>
      <c r="F293" s="11" t="s">
        <v>356</v>
      </c>
      <c r="G293" s="11" t="s">
        <v>357</v>
      </c>
      <c r="H293" s="11" t="s">
        <v>358</v>
      </c>
      <c r="I293" s="11"/>
      <c r="J293" s="11"/>
      <c r="K293" s="11"/>
      <c r="L293" s="11"/>
      <c r="M293" s="11"/>
      <c r="N293" s="11"/>
      <c r="O293" s="11"/>
      <c r="P293" s="11"/>
      <c r="Q293" s="11"/>
      <c r="R293" s="10"/>
      <c r="S293" s="10" t="s">
        <v>359</v>
      </c>
      <c r="T293" s="10" t="s">
        <v>360</v>
      </c>
      <c r="U293" s="10" t="s">
        <v>361</v>
      </c>
      <c r="V293" s="10" t="s">
        <v>965</v>
      </c>
      <c r="W293" s="5" t="str">
        <f>IF($D293="","",VLOOKUP($B293,メインシート!$B$13:$D$18,2,0))</f>
        <v>福島</v>
      </c>
      <c r="X293" s="5">
        <f t="shared" si="10"/>
        <v>60237</v>
      </c>
      <c r="Z293" s="1" t="s">
        <v>1035</v>
      </c>
    </row>
    <row r="294" spans="1:26" hidden="1" outlineLevel="1" x14ac:dyDescent="0.15">
      <c r="A294" s="9">
        <v>291</v>
      </c>
      <c r="B294" s="5">
        <f t="shared" si="11"/>
        <v>6</v>
      </c>
      <c r="C294" s="71">
        <f t="shared" si="9"/>
        <v>60238</v>
      </c>
      <c r="D294" s="74">
        <v>238</v>
      </c>
      <c r="E294" s="11" t="s">
        <v>362</v>
      </c>
      <c r="F294" s="11" t="s">
        <v>363</v>
      </c>
      <c r="G294" s="11" t="s">
        <v>364</v>
      </c>
      <c r="H294" s="11" t="s">
        <v>365</v>
      </c>
      <c r="I294" s="11"/>
      <c r="J294" s="11"/>
      <c r="K294" s="11"/>
      <c r="L294" s="11"/>
      <c r="M294" s="11"/>
      <c r="N294" s="11"/>
      <c r="O294" s="11"/>
      <c r="P294" s="11"/>
      <c r="Q294" s="11"/>
      <c r="R294" s="10"/>
      <c r="S294" s="10" t="s">
        <v>366</v>
      </c>
      <c r="T294" s="10" t="s">
        <v>367</v>
      </c>
      <c r="U294" s="10" t="s">
        <v>368</v>
      </c>
      <c r="V294" s="10" t="s">
        <v>369</v>
      </c>
      <c r="W294" s="5" t="str">
        <f>IF($D294="","",VLOOKUP($B294,メインシート!$B$13:$D$18,2,0))</f>
        <v>福島</v>
      </c>
      <c r="X294" s="5">
        <f t="shared" si="10"/>
        <v>60238</v>
      </c>
      <c r="Z294" s="1" t="s">
        <v>1036</v>
      </c>
    </row>
    <row r="295" spans="1:26" hidden="1" outlineLevel="1" x14ac:dyDescent="0.15">
      <c r="A295" s="9">
        <v>292</v>
      </c>
      <c r="B295" s="5">
        <f t="shared" si="11"/>
        <v>6</v>
      </c>
      <c r="C295" s="71">
        <f t="shared" si="9"/>
        <v>60240</v>
      </c>
      <c r="D295" s="74">
        <v>240</v>
      </c>
      <c r="E295" s="11" t="s">
        <v>370</v>
      </c>
      <c r="F295" s="11" t="s">
        <v>371</v>
      </c>
      <c r="G295" s="11" t="s">
        <v>372</v>
      </c>
      <c r="H295" s="11" t="s">
        <v>373</v>
      </c>
      <c r="I295" s="11"/>
      <c r="J295" s="11"/>
      <c r="K295" s="11"/>
      <c r="L295" s="11"/>
      <c r="M295" s="11"/>
      <c r="N295" s="11"/>
      <c r="O295" s="11"/>
      <c r="P295" s="11"/>
      <c r="Q295" s="11"/>
      <c r="R295" s="10"/>
      <c r="S295" s="10" t="s">
        <v>374</v>
      </c>
      <c r="T295" s="10" t="s">
        <v>375</v>
      </c>
      <c r="U295" s="10" t="s">
        <v>376</v>
      </c>
      <c r="V295" s="10" t="s">
        <v>966</v>
      </c>
      <c r="W295" s="5" t="str">
        <f>IF($D295="","",VLOOKUP($B295,メインシート!$B$13:$D$18,2,0))</f>
        <v>福島</v>
      </c>
      <c r="X295" s="5">
        <f t="shared" si="10"/>
        <v>60240</v>
      </c>
      <c r="Z295" s="1" t="s">
        <v>1037</v>
      </c>
    </row>
    <row r="296" spans="1:26" hidden="1" outlineLevel="1" x14ac:dyDescent="0.15">
      <c r="A296" s="9">
        <v>293</v>
      </c>
      <c r="B296" s="5">
        <f t="shared" si="11"/>
        <v>6</v>
      </c>
      <c r="C296" s="71">
        <f t="shared" si="9"/>
        <v>60251</v>
      </c>
      <c r="D296" s="74">
        <v>251</v>
      </c>
      <c r="E296" s="11" t="s">
        <v>377</v>
      </c>
      <c r="F296" s="11" t="s">
        <v>378</v>
      </c>
      <c r="G296" s="11" t="s">
        <v>379</v>
      </c>
      <c r="H296" s="11" t="s">
        <v>380</v>
      </c>
      <c r="I296" s="11"/>
      <c r="J296" s="11"/>
      <c r="K296" s="11"/>
      <c r="L296" s="11"/>
      <c r="M296" s="11"/>
      <c r="N296" s="11"/>
      <c r="O296" s="11"/>
      <c r="P296" s="11"/>
      <c r="Q296" s="11"/>
      <c r="R296" s="10"/>
      <c r="S296" s="10" t="s">
        <v>381</v>
      </c>
      <c r="T296" s="10" t="s">
        <v>382</v>
      </c>
      <c r="U296" s="10" t="s">
        <v>383</v>
      </c>
      <c r="V296" s="10" t="s">
        <v>384</v>
      </c>
      <c r="W296" s="5" t="str">
        <f>IF($D296="","",VLOOKUP($B296,メインシート!$B$13:$D$18,2,0))</f>
        <v>福島</v>
      </c>
      <c r="X296" s="5">
        <f t="shared" si="10"/>
        <v>60251</v>
      </c>
      <c r="Z296" s="1" t="s">
        <v>1038</v>
      </c>
    </row>
    <row r="297" spans="1:26" hidden="1" outlineLevel="1" x14ac:dyDescent="0.15">
      <c r="A297" s="9">
        <v>294</v>
      </c>
      <c r="B297" s="5">
        <f t="shared" si="11"/>
        <v>6</v>
      </c>
      <c r="C297" s="71">
        <f t="shared" si="9"/>
        <v>60254</v>
      </c>
      <c r="D297" s="74">
        <v>254</v>
      </c>
      <c r="E297" s="11" t="s">
        <v>385</v>
      </c>
      <c r="F297" s="11" t="s">
        <v>386</v>
      </c>
      <c r="G297" s="11" t="s">
        <v>387</v>
      </c>
      <c r="H297" s="11" t="s">
        <v>388</v>
      </c>
      <c r="I297" s="11"/>
      <c r="J297" s="11"/>
      <c r="K297" s="11"/>
      <c r="L297" s="11"/>
      <c r="M297" s="11"/>
      <c r="N297" s="11"/>
      <c r="O297" s="11"/>
      <c r="P297" s="11"/>
      <c r="Q297" s="11"/>
      <c r="R297" s="10"/>
      <c r="S297" s="10" t="s">
        <v>389</v>
      </c>
      <c r="T297" s="10" t="s">
        <v>390</v>
      </c>
      <c r="U297" s="10" t="s">
        <v>391</v>
      </c>
      <c r="V297" s="10" t="s">
        <v>392</v>
      </c>
      <c r="W297" s="5" t="str">
        <f>IF($D297="","",VLOOKUP($B297,メインシート!$B$13:$D$18,2,0))</f>
        <v>福島</v>
      </c>
      <c r="X297" s="5">
        <f t="shared" si="10"/>
        <v>60254</v>
      </c>
      <c r="Z297" s="1" t="s">
        <v>1039</v>
      </c>
    </row>
    <row r="298" spans="1:26" hidden="1" outlineLevel="1" x14ac:dyDescent="0.15">
      <c r="A298" s="9">
        <v>295</v>
      </c>
      <c r="B298" s="5">
        <f t="shared" si="11"/>
        <v>6</v>
      </c>
      <c r="C298" s="71">
        <f t="shared" si="9"/>
        <v>60256</v>
      </c>
      <c r="D298" s="74">
        <v>256</v>
      </c>
      <c r="E298" s="11" t="s">
        <v>967</v>
      </c>
      <c r="F298" s="11" t="s">
        <v>968</v>
      </c>
      <c r="G298" s="11" t="s">
        <v>969</v>
      </c>
      <c r="H298" s="11" t="s">
        <v>970</v>
      </c>
      <c r="I298" s="11"/>
      <c r="J298" s="11"/>
      <c r="K298" s="11"/>
      <c r="L298" s="11"/>
      <c r="M298" s="11"/>
      <c r="N298" s="11"/>
      <c r="O298" s="11"/>
      <c r="P298" s="11"/>
      <c r="Q298" s="11"/>
      <c r="R298" s="10"/>
      <c r="S298" s="10" t="s">
        <v>971</v>
      </c>
      <c r="T298" s="10" t="s">
        <v>972</v>
      </c>
      <c r="U298" s="10" t="s">
        <v>973</v>
      </c>
      <c r="V298" s="10" t="s">
        <v>974</v>
      </c>
      <c r="W298" s="5" t="str">
        <f>IF($D298="","",VLOOKUP($B298,メインシート!$B$13:$D$18,2,0))</f>
        <v>福島</v>
      </c>
      <c r="X298" s="5">
        <f t="shared" si="10"/>
        <v>60256</v>
      </c>
      <c r="Z298" s="1" t="s">
        <v>1040</v>
      </c>
    </row>
    <row r="299" spans="1:26" hidden="1" outlineLevel="1" x14ac:dyDescent="0.15">
      <c r="A299" s="9">
        <v>296</v>
      </c>
      <c r="B299" s="5">
        <f t="shared" si="11"/>
        <v>6</v>
      </c>
      <c r="C299" s="71">
        <f t="shared" si="9"/>
        <v>60258</v>
      </c>
      <c r="D299" s="74">
        <v>258</v>
      </c>
      <c r="E299" s="11" t="s">
        <v>393</v>
      </c>
      <c r="F299" s="11" t="s">
        <v>394</v>
      </c>
      <c r="G299" s="11" t="s">
        <v>395</v>
      </c>
      <c r="H299" s="11" t="s">
        <v>396</v>
      </c>
      <c r="I299" s="11"/>
      <c r="J299" s="11"/>
      <c r="K299" s="11"/>
      <c r="L299" s="11"/>
      <c r="M299" s="11"/>
      <c r="N299" s="11"/>
      <c r="O299" s="11"/>
      <c r="P299" s="11"/>
      <c r="Q299" s="11"/>
      <c r="R299" s="10"/>
      <c r="S299" s="10" t="s">
        <v>397</v>
      </c>
      <c r="T299" s="10" t="s">
        <v>398</v>
      </c>
      <c r="U299" s="10" t="s">
        <v>399</v>
      </c>
      <c r="V299" s="10" t="s">
        <v>400</v>
      </c>
      <c r="W299" s="5" t="str">
        <f>IF($D299="","",VLOOKUP($B299,メインシート!$B$13:$D$18,2,0))</f>
        <v>福島</v>
      </c>
      <c r="X299" s="5">
        <f t="shared" si="10"/>
        <v>60258</v>
      </c>
      <c r="Z299" s="1" t="s">
        <v>1041</v>
      </c>
    </row>
    <row r="300" spans="1:26" hidden="1" outlineLevel="1" x14ac:dyDescent="0.15">
      <c r="A300" s="9">
        <v>297</v>
      </c>
      <c r="B300" s="5">
        <f t="shared" si="11"/>
        <v>6</v>
      </c>
      <c r="C300" s="71">
        <f t="shared" si="9"/>
        <v>60301</v>
      </c>
      <c r="D300" s="74">
        <v>301</v>
      </c>
      <c r="E300" s="11" t="s">
        <v>401</v>
      </c>
      <c r="F300" s="11" t="s">
        <v>402</v>
      </c>
      <c r="G300" s="11" t="s">
        <v>403</v>
      </c>
      <c r="H300" s="11" t="s">
        <v>404</v>
      </c>
      <c r="I300" s="11"/>
      <c r="J300" s="11"/>
      <c r="K300" s="11"/>
      <c r="L300" s="11"/>
      <c r="M300" s="11"/>
      <c r="N300" s="11"/>
      <c r="O300" s="11"/>
      <c r="P300" s="11"/>
      <c r="Q300" s="11"/>
      <c r="R300" s="10"/>
      <c r="S300" s="10" t="s">
        <v>405</v>
      </c>
      <c r="T300" s="10" t="s">
        <v>406</v>
      </c>
      <c r="U300" s="10" t="s">
        <v>407</v>
      </c>
      <c r="V300" s="10" t="s">
        <v>408</v>
      </c>
      <c r="W300" s="5" t="str">
        <f>IF($D300="","",VLOOKUP($B300,メインシート!$B$13:$D$18,2,0))</f>
        <v>福島</v>
      </c>
      <c r="X300" s="5">
        <f t="shared" si="10"/>
        <v>60301</v>
      </c>
      <c r="Z300" s="1" t="s">
        <v>1042</v>
      </c>
    </row>
    <row r="301" spans="1:26" hidden="1" outlineLevel="1" x14ac:dyDescent="0.15">
      <c r="A301" s="9">
        <v>298</v>
      </c>
      <c r="B301" s="5">
        <f t="shared" si="11"/>
        <v>6</v>
      </c>
      <c r="C301" s="71">
        <f t="shared" si="9"/>
        <v>60302</v>
      </c>
      <c r="D301" s="74">
        <v>302</v>
      </c>
      <c r="E301" s="11" t="s">
        <v>409</v>
      </c>
      <c r="F301" s="11" t="s">
        <v>410</v>
      </c>
      <c r="G301" s="11" t="s">
        <v>411</v>
      </c>
      <c r="H301" s="11" t="s">
        <v>412</v>
      </c>
      <c r="I301" s="11"/>
      <c r="J301" s="11"/>
      <c r="K301" s="11"/>
      <c r="L301" s="11"/>
      <c r="M301" s="11"/>
      <c r="N301" s="11"/>
      <c r="O301" s="11"/>
      <c r="P301" s="11"/>
      <c r="Q301" s="11"/>
      <c r="R301" s="10"/>
      <c r="S301" s="10" t="s">
        <v>413</v>
      </c>
      <c r="T301" s="10" t="s">
        <v>414</v>
      </c>
      <c r="U301" s="10" t="s">
        <v>415</v>
      </c>
      <c r="V301" s="10" t="s">
        <v>416</v>
      </c>
      <c r="W301" s="5" t="str">
        <f>IF($D301="","",VLOOKUP($B301,メインシート!$B$13:$D$18,2,0))</f>
        <v>福島</v>
      </c>
      <c r="X301" s="5">
        <f t="shared" si="10"/>
        <v>60302</v>
      </c>
      <c r="Z301" s="1" t="s">
        <v>1043</v>
      </c>
    </row>
    <row r="302" spans="1:26" hidden="1" outlineLevel="1" x14ac:dyDescent="0.15">
      <c r="A302" s="9">
        <v>299</v>
      </c>
      <c r="B302" s="5">
        <f t="shared" si="11"/>
        <v>6</v>
      </c>
      <c r="C302" s="71">
        <f t="shared" si="9"/>
        <v>60309</v>
      </c>
      <c r="D302" s="74">
        <v>309</v>
      </c>
      <c r="E302" s="11" t="s">
        <v>417</v>
      </c>
      <c r="F302" s="11" t="s">
        <v>418</v>
      </c>
      <c r="G302" s="11" t="s">
        <v>419</v>
      </c>
      <c r="H302" s="11" t="s">
        <v>420</v>
      </c>
      <c r="I302" s="11"/>
      <c r="J302" s="11"/>
      <c r="K302" s="11"/>
      <c r="L302" s="11"/>
      <c r="M302" s="11"/>
      <c r="N302" s="11"/>
      <c r="O302" s="11"/>
      <c r="P302" s="11"/>
      <c r="Q302" s="11"/>
      <c r="R302" s="10"/>
      <c r="S302" s="10" t="s">
        <v>421</v>
      </c>
      <c r="T302" s="10" t="s">
        <v>422</v>
      </c>
      <c r="U302" s="10" t="s">
        <v>423</v>
      </c>
      <c r="V302" s="10" t="s">
        <v>424</v>
      </c>
      <c r="W302" s="5" t="str">
        <f>IF($D302="","",VLOOKUP($B302,メインシート!$B$13:$D$18,2,0))</f>
        <v>福島</v>
      </c>
      <c r="X302" s="5">
        <f t="shared" si="10"/>
        <v>60309</v>
      </c>
      <c r="Z302" s="1" t="s">
        <v>1044</v>
      </c>
    </row>
    <row r="303" spans="1:26" hidden="1" outlineLevel="1" x14ac:dyDescent="0.15">
      <c r="A303" s="9">
        <v>300</v>
      </c>
      <c r="B303" s="5">
        <f t="shared" si="11"/>
        <v>6</v>
      </c>
      <c r="C303" s="71">
        <f t="shared" si="9"/>
        <v>60310</v>
      </c>
      <c r="D303" s="74">
        <v>310</v>
      </c>
      <c r="E303" s="11" t="s">
        <v>425</v>
      </c>
      <c r="F303" s="11" t="s">
        <v>426</v>
      </c>
      <c r="G303" s="11" t="s">
        <v>427</v>
      </c>
      <c r="H303" s="11" t="s">
        <v>428</v>
      </c>
      <c r="I303" s="11"/>
      <c r="J303" s="11"/>
      <c r="K303" s="11"/>
      <c r="L303" s="11"/>
      <c r="M303" s="11"/>
      <c r="N303" s="11"/>
      <c r="O303" s="11"/>
      <c r="P303" s="11"/>
      <c r="Q303" s="11"/>
      <c r="R303" s="10"/>
      <c r="S303" s="10" t="s">
        <v>429</v>
      </c>
      <c r="T303" s="10" t="s">
        <v>430</v>
      </c>
      <c r="U303" s="10" t="s">
        <v>431</v>
      </c>
      <c r="V303" s="10" t="s">
        <v>432</v>
      </c>
      <c r="W303" s="5" t="str">
        <f>IF($D303="","",VLOOKUP($B303,メインシート!$B$13:$D$18,2,0))</f>
        <v>福島</v>
      </c>
      <c r="X303" s="5">
        <f t="shared" si="10"/>
        <v>60310</v>
      </c>
      <c r="Z303" s="1" t="s">
        <v>1045</v>
      </c>
    </row>
    <row r="304" spans="1:26" hidden="1" outlineLevel="1" x14ac:dyDescent="0.15">
      <c r="A304" s="9">
        <v>301</v>
      </c>
      <c r="B304" s="5">
        <f t="shared" si="11"/>
        <v>6</v>
      </c>
      <c r="C304" s="71">
        <f t="shared" si="9"/>
        <v>60313</v>
      </c>
      <c r="D304" s="74">
        <v>313</v>
      </c>
      <c r="E304" s="11" t="s">
        <v>433</v>
      </c>
      <c r="F304" s="11" t="s">
        <v>434</v>
      </c>
      <c r="G304" s="11" t="s">
        <v>435</v>
      </c>
      <c r="H304" s="11" t="s">
        <v>436</v>
      </c>
      <c r="I304" s="11"/>
      <c r="J304" s="11"/>
      <c r="K304" s="11"/>
      <c r="L304" s="11"/>
      <c r="M304" s="11"/>
      <c r="N304" s="11"/>
      <c r="O304" s="11"/>
      <c r="P304" s="11"/>
      <c r="Q304" s="11"/>
      <c r="R304" s="10"/>
      <c r="S304" s="10" t="s">
        <v>437</v>
      </c>
      <c r="T304" s="10" t="s">
        <v>438</v>
      </c>
      <c r="U304" s="10" t="s">
        <v>439</v>
      </c>
      <c r="V304" s="10" t="s">
        <v>440</v>
      </c>
      <c r="W304" s="5" t="str">
        <f>IF($D304="","",VLOOKUP($B304,メインシート!$B$13:$D$18,2,0))</f>
        <v>福島</v>
      </c>
      <c r="X304" s="5">
        <f t="shared" si="10"/>
        <v>60313</v>
      </c>
      <c r="Z304" s="1" t="s">
        <v>1046</v>
      </c>
    </row>
    <row r="305" spans="1:26" hidden="1" outlineLevel="1" x14ac:dyDescent="0.15">
      <c r="A305" s="9">
        <v>302</v>
      </c>
      <c r="B305" s="5">
        <f t="shared" si="11"/>
        <v>6</v>
      </c>
      <c r="C305" s="71">
        <f t="shared" si="9"/>
        <v>60315</v>
      </c>
      <c r="D305" s="74">
        <v>315</v>
      </c>
      <c r="E305" s="11" t="s">
        <v>441</v>
      </c>
      <c r="F305" s="11" t="s">
        <v>442</v>
      </c>
      <c r="G305" s="11" t="s">
        <v>443</v>
      </c>
      <c r="H305" s="11" t="s">
        <v>444</v>
      </c>
      <c r="I305" s="11"/>
      <c r="J305" s="11"/>
      <c r="K305" s="11"/>
      <c r="L305" s="11"/>
      <c r="M305" s="11"/>
      <c r="N305" s="11"/>
      <c r="O305" s="11"/>
      <c r="P305" s="11"/>
      <c r="Q305" s="11"/>
      <c r="R305" s="10"/>
      <c r="S305" s="10" t="s">
        <v>445</v>
      </c>
      <c r="T305" s="10" t="s">
        <v>446</v>
      </c>
      <c r="U305" s="10" t="s">
        <v>447</v>
      </c>
      <c r="V305" s="10" t="s">
        <v>448</v>
      </c>
      <c r="W305" s="5" t="str">
        <f>IF($D305="","",VLOOKUP($B305,メインシート!$B$13:$D$18,2,0))</f>
        <v>福島</v>
      </c>
      <c r="X305" s="5">
        <f t="shared" si="10"/>
        <v>60315</v>
      </c>
      <c r="Z305" s="1" t="s">
        <v>1047</v>
      </c>
    </row>
    <row r="306" spans="1:26" hidden="1" outlineLevel="1" x14ac:dyDescent="0.15">
      <c r="A306" s="9">
        <v>303</v>
      </c>
      <c r="B306" s="5">
        <f t="shared" si="11"/>
        <v>6</v>
      </c>
      <c r="C306" s="71">
        <f t="shared" si="9"/>
        <v>60316</v>
      </c>
      <c r="D306" s="74">
        <v>316</v>
      </c>
      <c r="E306" s="11" t="s">
        <v>449</v>
      </c>
      <c r="F306" s="11" t="s">
        <v>450</v>
      </c>
      <c r="G306" s="11" t="s">
        <v>451</v>
      </c>
      <c r="H306" s="11" t="s">
        <v>452</v>
      </c>
      <c r="I306" s="11"/>
      <c r="J306" s="11"/>
      <c r="K306" s="11"/>
      <c r="L306" s="11"/>
      <c r="M306" s="11"/>
      <c r="N306" s="11"/>
      <c r="O306" s="11"/>
      <c r="P306" s="11"/>
      <c r="Q306" s="11"/>
      <c r="R306" s="10"/>
      <c r="S306" s="10" t="s">
        <v>453</v>
      </c>
      <c r="T306" s="10" t="s">
        <v>454</v>
      </c>
      <c r="U306" s="10" t="s">
        <v>455</v>
      </c>
      <c r="V306" s="10" t="s">
        <v>456</v>
      </c>
      <c r="W306" s="5" t="str">
        <f>IF($D306="","",VLOOKUP($B306,メインシート!$B$13:$D$18,2,0))</f>
        <v>福島</v>
      </c>
      <c r="X306" s="5">
        <f t="shared" si="10"/>
        <v>60316</v>
      </c>
      <c r="Z306" s="1" t="s">
        <v>1048</v>
      </c>
    </row>
    <row r="307" spans="1:26" hidden="1" outlineLevel="1" x14ac:dyDescent="0.15">
      <c r="A307" s="9">
        <v>304</v>
      </c>
      <c r="B307" s="5">
        <f t="shared" si="11"/>
        <v>6</v>
      </c>
      <c r="C307" s="71">
        <f t="shared" si="9"/>
        <v>60342</v>
      </c>
      <c r="D307" s="74">
        <v>342</v>
      </c>
      <c r="E307" s="11" t="s">
        <v>457</v>
      </c>
      <c r="F307" s="11" t="s">
        <v>458</v>
      </c>
      <c r="G307" s="11" t="s">
        <v>459</v>
      </c>
      <c r="H307" s="11" t="s">
        <v>460</v>
      </c>
      <c r="I307" s="11"/>
      <c r="J307" s="11"/>
      <c r="K307" s="11"/>
      <c r="L307" s="11"/>
      <c r="M307" s="11"/>
      <c r="N307" s="11"/>
      <c r="O307" s="11"/>
      <c r="P307" s="11"/>
      <c r="Q307" s="11"/>
      <c r="R307" s="10"/>
      <c r="S307" s="10" t="s">
        <v>461</v>
      </c>
      <c r="T307" s="10" t="s">
        <v>462</v>
      </c>
      <c r="U307" s="10" t="s">
        <v>463</v>
      </c>
      <c r="V307" s="10" t="s">
        <v>464</v>
      </c>
      <c r="W307" s="5" t="str">
        <f>IF($D307="","",VLOOKUP($B307,メインシート!$B$13:$D$18,2,0))</f>
        <v>福島</v>
      </c>
      <c r="X307" s="5">
        <f t="shared" si="10"/>
        <v>60342</v>
      </c>
      <c r="Z307" s="1" t="s">
        <v>1049</v>
      </c>
    </row>
    <row r="308" spans="1:26" hidden="1" outlineLevel="1" x14ac:dyDescent="0.15">
      <c r="A308" s="9">
        <v>305</v>
      </c>
      <c r="B308" s="5">
        <f t="shared" si="11"/>
        <v>6</v>
      </c>
      <c r="C308" s="71">
        <f t="shared" si="9"/>
        <v>60343</v>
      </c>
      <c r="D308" s="74">
        <v>343</v>
      </c>
      <c r="E308" s="11" t="s">
        <v>465</v>
      </c>
      <c r="F308" s="11" t="s">
        <v>466</v>
      </c>
      <c r="G308" s="11" t="s">
        <v>467</v>
      </c>
      <c r="H308" s="11" t="s">
        <v>468</v>
      </c>
      <c r="I308" s="11"/>
      <c r="J308" s="11"/>
      <c r="K308" s="11"/>
      <c r="L308" s="11"/>
      <c r="M308" s="11"/>
      <c r="N308" s="11"/>
      <c r="O308" s="11"/>
      <c r="P308" s="11"/>
      <c r="Q308" s="11"/>
      <c r="R308" s="10"/>
      <c r="S308" s="10" t="s">
        <v>469</v>
      </c>
      <c r="T308" s="10" t="s">
        <v>470</v>
      </c>
      <c r="U308" s="10" t="s">
        <v>471</v>
      </c>
      <c r="V308" s="10" t="s">
        <v>975</v>
      </c>
      <c r="W308" s="5" t="str">
        <f>IF($D308="","",VLOOKUP($B308,メインシート!$B$13:$D$18,2,0))</f>
        <v>福島</v>
      </c>
      <c r="X308" s="5">
        <f t="shared" si="10"/>
        <v>60343</v>
      </c>
      <c r="Z308" s="1" t="s">
        <v>1050</v>
      </c>
    </row>
    <row r="309" spans="1:26" hidden="1" outlineLevel="1" x14ac:dyDescent="0.15">
      <c r="A309" s="9">
        <v>306</v>
      </c>
      <c r="B309" s="5">
        <f t="shared" si="11"/>
        <v>6</v>
      </c>
      <c r="C309" s="71">
        <f t="shared" si="9"/>
        <v>60344</v>
      </c>
      <c r="D309" s="74">
        <v>344</v>
      </c>
      <c r="E309" s="11" t="s">
        <v>2643</v>
      </c>
      <c r="F309" s="11" t="s">
        <v>2644</v>
      </c>
      <c r="G309" s="11" t="s">
        <v>2645</v>
      </c>
      <c r="H309" s="11" t="s">
        <v>2646</v>
      </c>
      <c r="I309" s="11"/>
      <c r="J309" s="11"/>
      <c r="K309" s="11"/>
      <c r="L309" s="11"/>
      <c r="M309" s="11"/>
      <c r="N309" s="11"/>
      <c r="O309" s="11"/>
      <c r="P309" s="11"/>
      <c r="Q309" s="11"/>
      <c r="R309" s="10"/>
      <c r="S309" s="10" t="s">
        <v>2647</v>
      </c>
      <c r="T309" s="10" t="s">
        <v>2648</v>
      </c>
      <c r="U309" s="10" t="s">
        <v>2649</v>
      </c>
      <c r="V309" s="10" t="s">
        <v>2650</v>
      </c>
      <c r="W309" s="5" t="str">
        <f>IF($D309="","",VLOOKUP($B309,メインシート!$B$13:$D$18,2,0))</f>
        <v>福島</v>
      </c>
      <c r="X309" s="5">
        <f t="shared" si="10"/>
        <v>60344</v>
      </c>
      <c r="Z309" s="1" t="s">
        <v>1051</v>
      </c>
    </row>
    <row r="310" spans="1:26" hidden="1" outlineLevel="1" x14ac:dyDescent="0.15">
      <c r="A310" s="9">
        <v>307</v>
      </c>
      <c r="B310" s="5">
        <f t="shared" si="11"/>
        <v>6</v>
      </c>
      <c r="C310" s="71">
        <f t="shared" si="9"/>
        <v>60348</v>
      </c>
      <c r="D310" s="74">
        <v>348</v>
      </c>
      <c r="E310" s="11" t="s">
        <v>472</v>
      </c>
      <c r="F310" s="11" t="s">
        <v>473</v>
      </c>
      <c r="G310" s="11" t="s">
        <v>474</v>
      </c>
      <c r="H310" s="11" t="s">
        <v>475</v>
      </c>
      <c r="I310" s="11"/>
      <c r="J310" s="11"/>
      <c r="K310" s="11"/>
      <c r="L310" s="11"/>
      <c r="M310" s="11"/>
      <c r="N310" s="11"/>
      <c r="O310" s="11"/>
      <c r="P310" s="11"/>
      <c r="Q310" s="11"/>
      <c r="R310" s="10"/>
      <c r="S310" s="10" t="s">
        <v>476</v>
      </c>
      <c r="T310" s="10" t="s">
        <v>477</v>
      </c>
      <c r="U310" s="10" t="s">
        <v>478</v>
      </c>
      <c r="V310" s="10" t="s">
        <v>479</v>
      </c>
      <c r="W310" s="5" t="str">
        <f>IF($D310="","",VLOOKUP($B310,メインシート!$B$13:$D$18,2,0))</f>
        <v>福島</v>
      </c>
      <c r="X310" s="5">
        <f t="shared" si="10"/>
        <v>60348</v>
      </c>
      <c r="Z310" s="1" t="s">
        <v>1052</v>
      </c>
    </row>
    <row r="311" spans="1:26" hidden="1" outlineLevel="1" x14ac:dyDescent="0.15">
      <c r="A311" s="9">
        <v>308</v>
      </c>
      <c r="B311" s="5">
        <f t="shared" si="11"/>
        <v>6</v>
      </c>
      <c r="C311" s="71">
        <f t="shared" si="9"/>
        <v>60401</v>
      </c>
      <c r="D311" s="74">
        <v>401</v>
      </c>
      <c r="E311" s="11" t="s">
        <v>480</v>
      </c>
      <c r="F311" s="11" t="s">
        <v>481</v>
      </c>
      <c r="G311" s="11" t="s">
        <v>482</v>
      </c>
      <c r="H311" s="11" t="s">
        <v>483</v>
      </c>
      <c r="I311" s="11"/>
      <c r="J311" s="11"/>
      <c r="K311" s="11"/>
      <c r="L311" s="11"/>
      <c r="M311" s="11"/>
      <c r="N311" s="11"/>
      <c r="O311" s="11"/>
      <c r="P311" s="11"/>
      <c r="Q311" s="11"/>
      <c r="R311" s="10"/>
      <c r="S311" s="10" t="s">
        <v>484</v>
      </c>
      <c r="T311" s="10" t="s">
        <v>485</v>
      </c>
      <c r="U311" s="10" t="s">
        <v>486</v>
      </c>
      <c r="V311" s="10" t="s">
        <v>487</v>
      </c>
      <c r="W311" s="5" t="str">
        <f>IF($D311="","",VLOOKUP($B311,メインシート!$B$13:$D$18,2,0))</f>
        <v>福島</v>
      </c>
      <c r="X311" s="5">
        <f t="shared" si="10"/>
        <v>60401</v>
      </c>
      <c r="Z311" s="1" t="s">
        <v>1053</v>
      </c>
    </row>
    <row r="312" spans="1:26" hidden="1" outlineLevel="1" x14ac:dyDescent="0.15">
      <c r="A312" s="9">
        <v>309</v>
      </c>
      <c r="B312" s="5">
        <f t="shared" si="11"/>
        <v>6</v>
      </c>
      <c r="C312" s="71">
        <f t="shared" si="9"/>
        <v>60402</v>
      </c>
      <c r="D312" s="74">
        <v>402</v>
      </c>
      <c r="E312" s="11" t="s">
        <v>488</v>
      </c>
      <c r="F312" s="11" t="s">
        <v>489</v>
      </c>
      <c r="G312" s="11" t="s">
        <v>490</v>
      </c>
      <c r="H312" s="11" t="s">
        <v>491</v>
      </c>
      <c r="I312" s="11"/>
      <c r="J312" s="11"/>
      <c r="K312" s="11"/>
      <c r="L312" s="11"/>
      <c r="M312" s="11"/>
      <c r="N312" s="11"/>
      <c r="O312" s="11"/>
      <c r="P312" s="11"/>
      <c r="Q312" s="11"/>
      <c r="R312" s="10"/>
      <c r="S312" s="10" t="s">
        <v>492</v>
      </c>
      <c r="T312" s="10" t="s">
        <v>493</v>
      </c>
      <c r="U312" s="10" t="s">
        <v>494</v>
      </c>
      <c r="V312" s="10" t="s">
        <v>495</v>
      </c>
      <c r="W312" s="5" t="str">
        <f>IF($D312="","",VLOOKUP($B312,メインシート!$B$13:$D$18,2,0))</f>
        <v>福島</v>
      </c>
      <c r="X312" s="5">
        <f t="shared" si="10"/>
        <v>60402</v>
      </c>
      <c r="Z312" s="1" t="s">
        <v>1054</v>
      </c>
    </row>
    <row r="313" spans="1:26" hidden="1" outlineLevel="1" x14ac:dyDescent="0.15">
      <c r="A313" s="9">
        <v>310</v>
      </c>
      <c r="B313" s="5">
        <f t="shared" si="11"/>
        <v>6</v>
      </c>
      <c r="C313" s="71">
        <f t="shared" si="9"/>
        <v>60403</v>
      </c>
      <c r="D313" s="74">
        <v>403</v>
      </c>
      <c r="E313" s="11" t="s">
        <v>496</v>
      </c>
      <c r="F313" s="11" t="s">
        <v>497</v>
      </c>
      <c r="G313" s="11" t="s">
        <v>498</v>
      </c>
      <c r="H313" s="11" t="s">
        <v>499</v>
      </c>
      <c r="I313" s="11"/>
      <c r="J313" s="11"/>
      <c r="K313" s="11"/>
      <c r="L313" s="11"/>
      <c r="M313" s="11"/>
      <c r="N313" s="11"/>
      <c r="O313" s="11"/>
      <c r="P313" s="11"/>
      <c r="Q313" s="11"/>
      <c r="R313" s="10"/>
      <c r="S313" s="10" t="s">
        <v>500</v>
      </c>
      <c r="T313" s="10" t="s">
        <v>501</v>
      </c>
      <c r="U313" s="10" t="s">
        <v>502</v>
      </c>
      <c r="V313" s="10" t="s">
        <v>503</v>
      </c>
      <c r="W313" s="5" t="str">
        <f>IF($D313="","",VLOOKUP($B313,メインシート!$B$13:$D$18,2,0))</f>
        <v>福島</v>
      </c>
      <c r="X313" s="5">
        <f t="shared" si="10"/>
        <v>60403</v>
      </c>
      <c r="Z313" s="1" t="s">
        <v>1055</v>
      </c>
    </row>
    <row r="314" spans="1:26" hidden="1" outlineLevel="1" x14ac:dyDescent="0.15">
      <c r="A314" s="9">
        <v>311</v>
      </c>
      <c r="B314" s="5">
        <f t="shared" si="11"/>
        <v>6</v>
      </c>
      <c r="C314" s="71">
        <f t="shared" si="9"/>
        <v>60404</v>
      </c>
      <c r="D314" s="74">
        <v>404</v>
      </c>
      <c r="E314" s="11" t="s">
        <v>504</v>
      </c>
      <c r="F314" s="11" t="s">
        <v>505</v>
      </c>
      <c r="G314" s="11" t="s">
        <v>506</v>
      </c>
      <c r="H314" s="11" t="s">
        <v>507</v>
      </c>
      <c r="I314" s="11"/>
      <c r="J314" s="11"/>
      <c r="K314" s="11"/>
      <c r="L314" s="11"/>
      <c r="M314" s="11"/>
      <c r="N314" s="11"/>
      <c r="O314" s="11"/>
      <c r="P314" s="11"/>
      <c r="Q314" s="11"/>
      <c r="R314" s="10"/>
      <c r="S314" s="10" t="s">
        <v>508</v>
      </c>
      <c r="T314" s="10" t="s">
        <v>509</v>
      </c>
      <c r="U314" s="10" t="s">
        <v>510</v>
      </c>
      <c r="V314" s="10" t="s">
        <v>511</v>
      </c>
      <c r="W314" s="5" t="str">
        <f>IF($D314="","",VLOOKUP($B314,メインシート!$B$13:$D$18,2,0))</f>
        <v>福島</v>
      </c>
      <c r="X314" s="5">
        <f t="shared" si="10"/>
        <v>60404</v>
      </c>
      <c r="Z314" s="1" t="s">
        <v>1056</v>
      </c>
    </row>
    <row r="315" spans="1:26" hidden="1" outlineLevel="1" x14ac:dyDescent="0.15">
      <c r="A315" s="9">
        <v>312</v>
      </c>
      <c r="B315" s="5">
        <f t="shared" si="11"/>
        <v>6</v>
      </c>
      <c r="C315" s="71">
        <f t="shared" si="9"/>
        <v>60405</v>
      </c>
      <c r="D315" s="74">
        <v>405</v>
      </c>
      <c r="E315" s="11" t="s">
        <v>512</v>
      </c>
      <c r="F315" s="11" t="s">
        <v>513</v>
      </c>
      <c r="G315" s="11" t="s">
        <v>514</v>
      </c>
      <c r="H315" s="11" t="s">
        <v>515</v>
      </c>
      <c r="I315" s="11"/>
      <c r="J315" s="11"/>
      <c r="K315" s="11"/>
      <c r="L315" s="11"/>
      <c r="M315" s="11"/>
      <c r="N315" s="11"/>
      <c r="O315" s="11"/>
      <c r="P315" s="11"/>
      <c r="Q315" s="11"/>
      <c r="R315" s="10"/>
      <c r="S315" s="10" t="s">
        <v>516</v>
      </c>
      <c r="T315" s="10" t="s">
        <v>517</v>
      </c>
      <c r="U315" s="10" t="s">
        <v>518</v>
      </c>
      <c r="V315" s="10" t="s">
        <v>519</v>
      </c>
      <c r="W315" s="5" t="str">
        <f>IF($D315="","",VLOOKUP($B315,メインシート!$B$13:$D$18,2,0))</f>
        <v>福島</v>
      </c>
      <c r="X315" s="5">
        <f t="shared" si="10"/>
        <v>60405</v>
      </c>
      <c r="Z315" s="1" t="s">
        <v>1057</v>
      </c>
    </row>
    <row r="316" spans="1:26" hidden="1" outlineLevel="1" x14ac:dyDescent="0.15">
      <c r="A316" s="9">
        <v>313</v>
      </c>
      <c r="B316" s="5">
        <f t="shared" si="11"/>
        <v>6</v>
      </c>
      <c r="C316" s="71">
        <f t="shared" si="9"/>
        <v>60406</v>
      </c>
      <c r="D316" s="74">
        <v>406</v>
      </c>
      <c r="E316" s="11" t="s">
        <v>520</v>
      </c>
      <c r="F316" s="11" t="s">
        <v>521</v>
      </c>
      <c r="G316" s="11" t="s">
        <v>522</v>
      </c>
      <c r="H316" s="11" t="s">
        <v>523</v>
      </c>
      <c r="I316" s="11"/>
      <c r="J316" s="11"/>
      <c r="K316" s="11"/>
      <c r="L316" s="11"/>
      <c r="M316" s="11"/>
      <c r="N316" s="11"/>
      <c r="O316" s="11"/>
      <c r="P316" s="11"/>
      <c r="Q316" s="11"/>
      <c r="R316" s="10"/>
      <c r="S316" s="10" t="s">
        <v>524</v>
      </c>
      <c r="T316" s="10" t="s">
        <v>525</v>
      </c>
      <c r="U316" s="10" t="s">
        <v>526</v>
      </c>
      <c r="V316" s="10" t="s">
        <v>846</v>
      </c>
      <c r="W316" s="5" t="str">
        <f>IF($D316="","",VLOOKUP($B316,メインシート!$B$13:$D$18,2,0))</f>
        <v>福島</v>
      </c>
      <c r="X316" s="5">
        <f t="shared" si="10"/>
        <v>60406</v>
      </c>
      <c r="Z316" s="1" t="s">
        <v>1058</v>
      </c>
    </row>
    <row r="317" spans="1:26" hidden="1" outlineLevel="1" x14ac:dyDescent="0.15">
      <c r="A317" s="9">
        <v>314</v>
      </c>
      <c r="B317" s="5">
        <f t="shared" si="11"/>
        <v>6</v>
      </c>
      <c r="C317" s="71">
        <f t="shared" si="9"/>
        <v>60408</v>
      </c>
      <c r="D317" s="74">
        <v>408</v>
      </c>
      <c r="E317" s="11" t="s">
        <v>527</v>
      </c>
      <c r="F317" s="11" t="s">
        <v>528</v>
      </c>
      <c r="G317" s="11" t="s">
        <v>529</v>
      </c>
      <c r="H317" s="11" t="s">
        <v>530</v>
      </c>
      <c r="I317" s="11"/>
      <c r="J317" s="11"/>
      <c r="K317" s="11"/>
      <c r="L317" s="11"/>
      <c r="M317" s="11"/>
      <c r="N317" s="11"/>
      <c r="O317" s="11"/>
      <c r="P317" s="11"/>
      <c r="Q317" s="11"/>
      <c r="R317" s="10"/>
      <c r="S317" s="10" t="s">
        <v>531</v>
      </c>
      <c r="T317" s="10" t="s">
        <v>532</v>
      </c>
      <c r="U317" s="10" t="s">
        <v>533</v>
      </c>
      <c r="V317" s="10" t="s">
        <v>534</v>
      </c>
      <c r="W317" s="5" t="str">
        <f>IF($D317="","",VLOOKUP($B317,メインシート!$B$13:$D$18,2,0))</f>
        <v>福島</v>
      </c>
      <c r="X317" s="5">
        <f t="shared" si="10"/>
        <v>60408</v>
      </c>
      <c r="Z317" s="1" t="s">
        <v>1059</v>
      </c>
    </row>
    <row r="318" spans="1:26" hidden="1" outlineLevel="1" x14ac:dyDescent="0.15">
      <c r="A318" s="9">
        <v>315</v>
      </c>
      <c r="B318" s="5">
        <f t="shared" si="11"/>
        <v>6</v>
      </c>
      <c r="C318" s="71">
        <f t="shared" si="9"/>
        <v>60410</v>
      </c>
      <c r="D318" s="74">
        <v>410</v>
      </c>
      <c r="E318" s="11" t="s">
        <v>535</v>
      </c>
      <c r="F318" s="11" t="s">
        <v>536</v>
      </c>
      <c r="G318" s="11" t="s">
        <v>537</v>
      </c>
      <c r="H318" s="11" t="s">
        <v>538</v>
      </c>
      <c r="I318" s="11"/>
      <c r="J318" s="11"/>
      <c r="K318" s="11"/>
      <c r="L318" s="11"/>
      <c r="M318" s="11"/>
      <c r="N318" s="11"/>
      <c r="O318" s="11"/>
      <c r="P318" s="11"/>
      <c r="Q318" s="11"/>
      <c r="R318" s="10"/>
      <c r="S318" s="10" t="s">
        <v>539</v>
      </c>
      <c r="T318" s="10" t="s">
        <v>540</v>
      </c>
      <c r="U318" s="10" t="s">
        <v>541</v>
      </c>
      <c r="V318" s="10" t="s">
        <v>542</v>
      </c>
      <c r="W318" s="5" t="str">
        <f>IF($D318="","",VLOOKUP($B318,メインシート!$B$13:$D$18,2,0))</f>
        <v>福島</v>
      </c>
      <c r="X318" s="5">
        <f t="shared" si="10"/>
        <v>60410</v>
      </c>
      <c r="Z318" s="1" t="s">
        <v>1060</v>
      </c>
    </row>
    <row r="319" spans="1:26" hidden="1" outlineLevel="1" x14ac:dyDescent="0.15">
      <c r="A319" s="9">
        <v>316</v>
      </c>
      <c r="B319" s="5">
        <f t="shared" si="11"/>
        <v>6</v>
      </c>
      <c r="C319" s="71">
        <f t="shared" ref="C319:C363" si="12">IF(D319="","",VALUE(CONCATENATE(B319,IF(LEN(B319)=1,0,""),D319)))</f>
        <v>60411</v>
      </c>
      <c r="D319" s="74">
        <v>411</v>
      </c>
      <c r="E319" s="11" t="s">
        <v>543</v>
      </c>
      <c r="F319" s="11" t="s">
        <v>544</v>
      </c>
      <c r="G319" s="11" t="s">
        <v>545</v>
      </c>
      <c r="H319" s="11" t="s">
        <v>546</v>
      </c>
      <c r="I319" s="11"/>
      <c r="J319" s="11"/>
      <c r="K319" s="11"/>
      <c r="L319" s="11"/>
      <c r="M319" s="11"/>
      <c r="N319" s="11"/>
      <c r="O319" s="11"/>
      <c r="P319" s="11"/>
      <c r="Q319" s="11"/>
      <c r="R319" s="10"/>
      <c r="S319" s="10" t="s">
        <v>547</v>
      </c>
      <c r="T319" s="10" t="s">
        <v>548</v>
      </c>
      <c r="U319" s="10" t="s">
        <v>549</v>
      </c>
      <c r="V319" s="10" t="s">
        <v>976</v>
      </c>
      <c r="W319" s="5" t="str">
        <f>IF($D319="","",VLOOKUP($B319,メインシート!$B$13:$D$18,2,0))</f>
        <v>福島</v>
      </c>
      <c r="X319" s="5">
        <f t="shared" ref="X319:X363" si="13">IF(C319="","",C319)</f>
        <v>60411</v>
      </c>
      <c r="Z319" s="6" t="s">
        <v>1061</v>
      </c>
    </row>
    <row r="320" spans="1:26" hidden="1" outlineLevel="1" x14ac:dyDescent="0.15">
      <c r="A320" s="9">
        <v>317</v>
      </c>
      <c r="B320" s="5">
        <f t="shared" si="11"/>
        <v>6</v>
      </c>
      <c r="C320" s="71">
        <f t="shared" si="12"/>
        <v>60412</v>
      </c>
      <c r="D320" s="74">
        <v>412</v>
      </c>
      <c r="E320" s="11" t="s">
        <v>977</v>
      </c>
      <c r="F320" s="11" t="s">
        <v>978</v>
      </c>
      <c r="G320" s="11" t="s">
        <v>979</v>
      </c>
      <c r="H320" s="11" t="s">
        <v>980</v>
      </c>
      <c r="I320" s="11"/>
      <c r="J320" s="11"/>
      <c r="K320" s="11"/>
      <c r="L320" s="11"/>
      <c r="M320" s="11"/>
      <c r="N320" s="11"/>
      <c r="O320" s="11"/>
      <c r="P320" s="11"/>
      <c r="Q320" s="11"/>
      <c r="R320" s="10"/>
      <c r="S320" s="10" t="s">
        <v>550</v>
      </c>
      <c r="T320" s="10" t="s">
        <v>551</v>
      </c>
      <c r="U320" s="10" t="s">
        <v>552</v>
      </c>
      <c r="V320" s="10" t="s">
        <v>981</v>
      </c>
      <c r="W320" s="5" t="str">
        <f>IF($D320="","",VLOOKUP($B320,メインシート!$B$13:$D$18,2,0))</f>
        <v>福島</v>
      </c>
      <c r="X320" s="5">
        <f t="shared" si="13"/>
        <v>60412</v>
      </c>
      <c r="Z320" s="1" t="s">
        <v>1062</v>
      </c>
    </row>
    <row r="321" spans="1:26" hidden="1" outlineLevel="1" x14ac:dyDescent="0.15">
      <c r="A321" s="9">
        <v>318</v>
      </c>
      <c r="B321" s="5">
        <f t="shared" si="11"/>
        <v>6</v>
      </c>
      <c r="C321" s="71">
        <f t="shared" si="12"/>
        <v>60413</v>
      </c>
      <c r="D321" s="74">
        <v>413</v>
      </c>
      <c r="E321" s="11" t="s">
        <v>553</v>
      </c>
      <c r="F321" s="11" t="s">
        <v>554</v>
      </c>
      <c r="G321" s="11" t="s">
        <v>555</v>
      </c>
      <c r="H321" s="11" t="s">
        <v>556</v>
      </c>
      <c r="I321" s="11"/>
      <c r="J321" s="11"/>
      <c r="K321" s="11"/>
      <c r="L321" s="11"/>
      <c r="M321" s="11"/>
      <c r="N321" s="11"/>
      <c r="O321" s="11"/>
      <c r="P321" s="11"/>
      <c r="Q321" s="11"/>
      <c r="R321" s="10"/>
      <c r="S321" s="10" t="s">
        <v>557</v>
      </c>
      <c r="T321" s="10" t="s">
        <v>558</v>
      </c>
      <c r="U321" s="10" t="s">
        <v>559</v>
      </c>
      <c r="V321" s="10" t="s">
        <v>560</v>
      </c>
      <c r="W321" s="5" t="str">
        <f>IF($D321="","",VLOOKUP($B321,メインシート!$B$13:$D$18,2,0))</f>
        <v>福島</v>
      </c>
      <c r="X321" s="5">
        <f t="shared" si="13"/>
        <v>60413</v>
      </c>
      <c r="Z321" s="1" t="s">
        <v>1063</v>
      </c>
    </row>
    <row r="322" spans="1:26" hidden="1" outlineLevel="1" x14ac:dyDescent="0.15">
      <c r="A322" s="9">
        <v>319</v>
      </c>
      <c r="B322" s="5">
        <f t="shared" si="11"/>
        <v>6</v>
      </c>
      <c r="C322" s="71">
        <f t="shared" si="12"/>
        <v>60414</v>
      </c>
      <c r="D322" s="74">
        <v>414</v>
      </c>
      <c r="E322" s="11" t="s">
        <v>561</v>
      </c>
      <c r="F322" s="11" t="s">
        <v>562</v>
      </c>
      <c r="G322" s="11" t="s">
        <v>563</v>
      </c>
      <c r="H322" s="11" t="s">
        <v>564</v>
      </c>
      <c r="I322" s="11"/>
      <c r="J322" s="11"/>
      <c r="K322" s="11"/>
      <c r="L322" s="11"/>
      <c r="M322" s="11"/>
      <c r="N322" s="11"/>
      <c r="O322" s="11"/>
      <c r="P322" s="11"/>
      <c r="Q322" s="11"/>
      <c r="R322" s="10"/>
      <c r="S322" s="10" t="s">
        <v>565</v>
      </c>
      <c r="T322" s="10" t="s">
        <v>566</v>
      </c>
      <c r="U322" s="10" t="s">
        <v>567</v>
      </c>
      <c r="V322" s="10" t="s">
        <v>568</v>
      </c>
      <c r="W322" s="5" t="str">
        <f>IF($D322="","",VLOOKUP($B322,メインシート!$B$13:$D$18,2,0))</f>
        <v>福島</v>
      </c>
      <c r="X322" s="5">
        <f t="shared" si="13"/>
        <v>60414</v>
      </c>
      <c r="Z322" s="1" t="s">
        <v>1064</v>
      </c>
    </row>
    <row r="323" spans="1:26" hidden="1" outlineLevel="1" x14ac:dyDescent="0.15">
      <c r="A323" s="9">
        <v>320</v>
      </c>
      <c r="B323" s="5">
        <f t="shared" si="11"/>
        <v>6</v>
      </c>
      <c r="C323" s="71">
        <f t="shared" si="12"/>
        <v>60416</v>
      </c>
      <c r="D323" s="74">
        <v>416</v>
      </c>
      <c r="E323" s="11" t="s">
        <v>569</v>
      </c>
      <c r="F323" s="11" t="s">
        <v>570</v>
      </c>
      <c r="G323" s="11" t="s">
        <v>571</v>
      </c>
      <c r="H323" s="11" t="s">
        <v>572</v>
      </c>
      <c r="I323" s="11"/>
      <c r="J323" s="11"/>
      <c r="K323" s="11"/>
      <c r="L323" s="11"/>
      <c r="M323" s="11"/>
      <c r="N323" s="11"/>
      <c r="O323" s="11"/>
      <c r="P323" s="11"/>
      <c r="Q323" s="11"/>
      <c r="R323" s="10"/>
      <c r="S323" s="10" t="s">
        <v>573</v>
      </c>
      <c r="T323" s="10" t="s">
        <v>574</v>
      </c>
      <c r="U323" s="10" t="s">
        <v>575</v>
      </c>
      <c r="V323" s="10" t="s">
        <v>576</v>
      </c>
      <c r="W323" s="5" t="str">
        <f>IF($D323="","",VLOOKUP($B323,メインシート!$B$13:$D$18,2,0))</f>
        <v>福島</v>
      </c>
      <c r="X323" s="5">
        <f t="shared" si="13"/>
        <v>60416</v>
      </c>
      <c r="Z323" s="1" t="s">
        <v>1065</v>
      </c>
    </row>
    <row r="324" spans="1:26" hidden="1" outlineLevel="1" x14ac:dyDescent="0.15">
      <c r="A324" s="9">
        <v>321</v>
      </c>
      <c r="B324" s="5">
        <f t="shared" si="11"/>
        <v>6</v>
      </c>
      <c r="C324" s="71">
        <f t="shared" si="12"/>
        <v>60418</v>
      </c>
      <c r="D324" s="74">
        <v>418</v>
      </c>
      <c r="E324" s="11" t="s">
        <v>577</v>
      </c>
      <c r="F324" s="11" t="s">
        <v>578</v>
      </c>
      <c r="G324" s="11" t="s">
        <v>579</v>
      </c>
      <c r="H324" s="11" t="s">
        <v>580</v>
      </c>
      <c r="I324" s="11"/>
      <c r="J324" s="11"/>
      <c r="K324" s="11"/>
      <c r="L324" s="11"/>
      <c r="M324" s="11"/>
      <c r="N324" s="11"/>
      <c r="O324" s="11"/>
      <c r="P324" s="11"/>
      <c r="Q324" s="11"/>
      <c r="R324" s="10"/>
      <c r="S324" s="10" t="s">
        <v>581</v>
      </c>
      <c r="T324" s="10" t="s">
        <v>582</v>
      </c>
      <c r="U324" s="10" t="s">
        <v>583</v>
      </c>
      <c r="V324" s="10" t="s">
        <v>584</v>
      </c>
      <c r="W324" s="5" t="str">
        <f>IF($D324="","",VLOOKUP($B324,メインシート!$B$13:$D$18,2,0))</f>
        <v>福島</v>
      </c>
      <c r="X324" s="5">
        <f t="shared" si="13"/>
        <v>60418</v>
      </c>
      <c r="Z324" s="1" t="s">
        <v>1066</v>
      </c>
    </row>
    <row r="325" spans="1:26" hidden="1" outlineLevel="1" x14ac:dyDescent="0.15">
      <c r="A325" s="9">
        <v>322</v>
      </c>
      <c r="B325" s="5">
        <f t="shared" si="11"/>
        <v>6</v>
      </c>
      <c r="C325" s="71">
        <f t="shared" si="12"/>
        <v>60426</v>
      </c>
      <c r="D325" s="74">
        <v>426</v>
      </c>
      <c r="E325" s="11" t="s">
        <v>592</v>
      </c>
      <c r="F325" s="11" t="s">
        <v>593</v>
      </c>
      <c r="G325" s="11" t="s">
        <v>594</v>
      </c>
      <c r="H325" s="11" t="s">
        <v>595</v>
      </c>
      <c r="I325" s="11"/>
      <c r="J325" s="11"/>
      <c r="K325" s="11"/>
      <c r="L325" s="11"/>
      <c r="M325" s="11"/>
      <c r="N325" s="11"/>
      <c r="O325" s="11"/>
      <c r="P325" s="11"/>
      <c r="Q325" s="11"/>
      <c r="R325" s="10"/>
      <c r="S325" s="10" t="s">
        <v>596</v>
      </c>
      <c r="T325" s="10" t="s">
        <v>597</v>
      </c>
      <c r="U325" s="10" t="s">
        <v>982</v>
      </c>
      <c r="V325" s="10" t="s">
        <v>598</v>
      </c>
      <c r="W325" s="5" t="str">
        <f>IF($D325="","",VLOOKUP($B325,メインシート!$B$13:$D$18,2,0))</f>
        <v>福島</v>
      </c>
      <c r="X325" s="5">
        <f t="shared" si="13"/>
        <v>60426</v>
      </c>
      <c r="Z325" s="1" t="s">
        <v>1067</v>
      </c>
    </row>
    <row r="326" spans="1:26" hidden="1" outlineLevel="1" x14ac:dyDescent="0.15">
      <c r="A326" s="9">
        <v>323</v>
      </c>
      <c r="B326" s="5">
        <f t="shared" si="11"/>
        <v>6</v>
      </c>
      <c r="C326" s="71">
        <f t="shared" si="12"/>
        <v>60430</v>
      </c>
      <c r="D326" s="74">
        <v>430</v>
      </c>
      <c r="E326" s="11" t="s">
        <v>599</v>
      </c>
      <c r="F326" s="11" t="s">
        <v>600</v>
      </c>
      <c r="G326" s="11" t="s">
        <v>601</v>
      </c>
      <c r="H326" s="11" t="s">
        <v>602</v>
      </c>
      <c r="I326" s="11"/>
      <c r="J326" s="11"/>
      <c r="K326" s="11"/>
      <c r="L326" s="11"/>
      <c r="M326" s="11"/>
      <c r="N326" s="11"/>
      <c r="O326" s="11"/>
      <c r="P326" s="11"/>
      <c r="Q326" s="11"/>
      <c r="R326" s="10"/>
      <c r="S326" s="10" t="s">
        <v>603</v>
      </c>
      <c r="T326" s="10" t="s">
        <v>604</v>
      </c>
      <c r="U326" s="10" t="s">
        <v>605</v>
      </c>
      <c r="V326" s="10" t="s">
        <v>606</v>
      </c>
      <c r="W326" s="5" t="str">
        <f>IF($D326="","",VLOOKUP($B326,メインシート!$B$13:$D$18,2,0))</f>
        <v>福島</v>
      </c>
      <c r="X326" s="5">
        <f t="shared" si="13"/>
        <v>60430</v>
      </c>
      <c r="Z326" s="1" t="s">
        <v>1068</v>
      </c>
    </row>
    <row r="327" spans="1:26" hidden="1" outlineLevel="1" x14ac:dyDescent="0.15">
      <c r="A327" s="9">
        <v>324</v>
      </c>
      <c r="B327" s="5">
        <f t="shared" si="11"/>
        <v>6</v>
      </c>
      <c r="C327" s="71">
        <f t="shared" si="12"/>
        <v>60432</v>
      </c>
      <c r="D327" s="74">
        <v>432</v>
      </c>
      <c r="E327" s="11" t="s">
        <v>607</v>
      </c>
      <c r="F327" s="11" t="s">
        <v>608</v>
      </c>
      <c r="G327" s="11" t="s">
        <v>609</v>
      </c>
      <c r="H327" s="11" t="s">
        <v>610</v>
      </c>
      <c r="I327" s="11"/>
      <c r="J327" s="11"/>
      <c r="K327" s="11"/>
      <c r="L327" s="11"/>
      <c r="M327" s="11"/>
      <c r="N327" s="11"/>
      <c r="O327" s="11"/>
      <c r="P327" s="11"/>
      <c r="Q327" s="11"/>
      <c r="R327" s="10"/>
      <c r="S327" s="10" t="s">
        <v>611</v>
      </c>
      <c r="T327" s="10" t="s">
        <v>612</v>
      </c>
      <c r="U327" s="10" t="s">
        <v>613</v>
      </c>
      <c r="V327" s="10" t="s">
        <v>614</v>
      </c>
      <c r="W327" s="5" t="str">
        <f>IF($D327="","",VLOOKUP($B327,メインシート!$B$13:$D$18,2,0))</f>
        <v>福島</v>
      </c>
      <c r="X327" s="5">
        <f t="shared" si="13"/>
        <v>60432</v>
      </c>
      <c r="Z327" s="1" t="s">
        <v>1069</v>
      </c>
    </row>
    <row r="328" spans="1:26" hidden="1" outlineLevel="1" x14ac:dyDescent="0.15">
      <c r="A328" s="9">
        <v>325</v>
      </c>
      <c r="B328" s="5">
        <f t="shared" si="11"/>
        <v>6</v>
      </c>
      <c r="C328" s="71">
        <f t="shared" si="12"/>
        <v>60471</v>
      </c>
      <c r="D328" s="74">
        <v>471</v>
      </c>
      <c r="E328" s="11" t="s">
        <v>615</v>
      </c>
      <c r="F328" s="11" t="s">
        <v>616</v>
      </c>
      <c r="G328" s="11" t="s">
        <v>617</v>
      </c>
      <c r="H328" s="11" t="s">
        <v>618</v>
      </c>
      <c r="I328" s="11"/>
      <c r="J328" s="11"/>
      <c r="K328" s="11"/>
      <c r="L328" s="11"/>
      <c r="M328" s="11"/>
      <c r="N328" s="11"/>
      <c r="O328" s="11"/>
      <c r="P328" s="11"/>
      <c r="Q328" s="11"/>
      <c r="R328" s="10"/>
      <c r="S328" s="10" t="s">
        <v>619</v>
      </c>
      <c r="T328" s="10" t="s">
        <v>620</v>
      </c>
      <c r="U328" s="10" t="s">
        <v>621</v>
      </c>
      <c r="V328" s="10" t="s">
        <v>622</v>
      </c>
      <c r="W328" s="5" t="str">
        <f>IF($D328="","",VLOOKUP($B328,メインシート!$B$13:$D$18,2,0))</f>
        <v>福島</v>
      </c>
      <c r="X328" s="5">
        <f t="shared" si="13"/>
        <v>60471</v>
      </c>
      <c r="Z328" s="1" t="s">
        <v>1070</v>
      </c>
    </row>
    <row r="329" spans="1:26" hidden="1" outlineLevel="1" x14ac:dyDescent="0.15">
      <c r="A329" s="9">
        <v>326</v>
      </c>
      <c r="B329" s="5">
        <f t="shared" si="11"/>
        <v>6</v>
      </c>
      <c r="C329" s="71">
        <f t="shared" si="12"/>
        <v>60473</v>
      </c>
      <c r="D329" s="75">
        <v>473</v>
      </c>
      <c r="E329" s="11" t="s">
        <v>623</v>
      </c>
      <c r="F329" s="11" t="s">
        <v>624</v>
      </c>
      <c r="G329" s="11" t="s">
        <v>625</v>
      </c>
      <c r="H329" s="11" t="s">
        <v>626</v>
      </c>
      <c r="I329" s="11"/>
      <c r="J329" s="11"/>
      <c r="K329" s="11"/>
      <c r="L329" s="11"/>
      <c r="M329" s="11"/>
      <c r="N329" s="11"/>
      <c r="O329" s="11"/>
      <c r="P329" s="11"/>
      <c r="Q329" s="11"/>
      <c r="R329" s="9"/>
      <c r="S329" s="9" t="s">
        <v>627</v>
      </c>
      <c r="T329" s="9" t="s">
        <v>628</v>
      </c>
      <c r="U329" s="9" t="s">
        <v>629</v>
      </c>
      <c r="V329" s="9" t="s">
        <v>630</v>
      </c>
      <c r="W329" s="5" t="str">
        <f>IF($D329="","",VLOOKUP($B329,メインシート!$B$13:$D$18,2,0))</f>
        <v>福島</v>
      </c>
      <c r="X329" s="5">
        <f t="shared" si="13"/>
        <v>60473</v>
      </c>
      <c r="Z329" s="1" t="s">
        <v>1071</v>
      </c>
    </row>
    <row r="330" spans="1:26" hidden="1" outlineLevel="1" x14ac:dyDescent="0.15">
      <c r="A330" s="9">
        <v>327</v>
      </c>
      <c r="B330" s="5">
        <f t="shared" si="11"/>
        <v>6</v>
      </c>
      <c r="C330" s="71">
        <f t="shared" si="12"/>
        <v>60476</v>
      </c>
      <c r="D330" s="74">
        <v>476</v>
      </c>
      <c r="E330" s="11" t="s">
        <v>631</v>
      </c>
      <c r="F330" s="11" t="s">
        <v>632</v>
      </c>
      <c r="G330" s="11" t="s">
        <v>633</v>
      </c>
      <c r="H330" s="11" t="s">
        <v>634</v>
      </c>
      <c r="I330" s="11"/>
      <c r="J330" s="11"/>
      <c r="K330" s="11"/>
      <c r="L330" s="11"/>
      <c r="M330" s="11"/>
      <c r="N330" s="11"/>
      <c r="O330" s="11"/>
      <c r="P330" s="11"/>
      <c r="Q330" s="11"/>
      <c r="R330" s="10"/>
      <c r="S330" s="10" t="s">
        <v>635</v>
      </c>
      <c r="T330" s="10" t="s">
        <v>636</v>
      </c>
      <c r="U330" s="10" t="s">
        <v>637</v>
      </c>
      <c r="V330" s="10" t="s">
        <v>638</v>
      </c>
      <c r="W330" s="5" t="str">
        <f>IF($D330="","",VLOOKUP($B330,メインシート!$B$13:$D$18,2,0))</f>
        <v>福島</v>
      </c>
      <c r="X330" s="5">
        <f t="shared" si="13"/>
        <v>60476</v>
      </c>
      <c r="Z330" s="1" t="s">
        <v>1072</v>
      </c>
    </row>
    <row r="331" spans="1:26" hidden="1" outlineLevel="1" x14ac:dyDescent="0.15">
      <c r="A331" s="9">
        <v>328</v>
      </c>
      <c r="B331" s="5">
        <f t="shared" si="11"/>
        <v>6</v>
      </c>
      <c r="C331" s="71">
        <f t="shared" si="12"/>
        <v>60501</v>
      </c>
      <c r="D331" s="74">
        <v>501</v>
      </c>
      <c r="E331" s="11" t="s">
        <v>639</v>
      </c>
      <c r="F331" s="11" t="s">
        <v>640</v>
      </c>
      <c r="G331" s="11" t="s">
        <v>641</v>
      </c>
      <c r="H331" s="11" t="s">
        <v>642</v>
      </c>
      <c r="I331" s="11"/>
      <c r="J331" s="11"/>
      <c r="K331" s="11"/>
      <c r="L331" s="11"/>
      <c r="M331" s="11"/>
      <c r="N331" s="11"/>
      <c r="O331" s="11"/>
      <c r="P331" s="11"/>
      <c r="Q331" s="11"/>
      <c r="R331" s="10"/>
      <c r="S331" s="10" t="s">
        <v>643</v>
      </c>
      <c r="T331" s="10" t="s">
        <v>644</v>
      </c>
      <c r="U331" s="10" t="s">
        <v>645</v>
      </c>
      <c r="V331" s="10" t="s">
        <v>646</v>
      </c>
      <c r="W331" s="5" t="str">
        <f>IF($D331="","",VLOOKUP($B331,メインシート!$B$13:$D$18,2,0))</f>
        <v>福島</v>
      </c>
      <c r="X331" s="5">
        <f t="shared" si="13"/>
        <v>60501</v>
      </c>
      <c r="Z331" s="1" t="s">
        <v>1073</v>
      </c>
    </row>
    <row r="332" spans="1:26" hidden="1" outlineLevel="1" x14ac:dyDescent="0.15">
      <c r="A332" s="9">
        <v>329</v>
      </c>
      <c r="B332" s="5">
        <f t="shared" si="11"/>
        <v>6</v>
      </c>
      <c r="C332" s="71">
        <f t="shared" si="12"/>
        <v>60504</v>
      </c>
      <c r="D332" s="74">
        <v>504</v>
      </c>
      <c r="E332" s="11" t="s">
        <v>647</v>
      </c>
      <c r="F332" s="11" t="s">
        <v>648</v>
      </c>
      <c r="G332" s="11" t="s">
        <v>649</v>
      </c>
      <c r="H332" s="11" t="s">
        <v>650</v>
      </c>
      <c r="I332" s="11"/>
      <c r="J332" s="11"/>
      <c r="K332" s="11"/>
      <c r="L332" s="11"/>
      <c r="M332" s="11"/>
      <c r="N332" s="11"/>
      <c r="O332" s="11"/>
      <c r="P332" s="11"/>
      <c r="Q332" s="11"/>
      <c r="R332" s="10"/>
      <c r="S332" s="10" t="s">
        <v>651</v>
      </c>
      <c r="T332" s="10" t="s">
        <v>652</v>
      </c>
      <c r="U332" s="10" t="s">
        <v>653</v>
      </c>
      <c r="V332" s="10" t="s">
        <v>654</v>
      </c>
      <c r="W332" s="5" t="str">
        <f>IF($D332="","",VLOOKUP($B332,メインシート!$B$13:$D$18,2,0))</f>
        <v>福島</v>
      </c>
      <c r="X332" s="5">
        <f t="shared" si="13"/>
        <v>60504</v>
      </c>
      <c r="Z332" s="1" t="s">
        <v>1074</v>
      </c>
    </row>
    <row r="333" spans="1:26" hidden="1" outlineLevel="1" x14ac:dyDescent="0.15">
      <c r="A333" s="9">
        <v>330</v>
      </c>
      <c r="B333" s="5">
        <f t="shared" ref="B333:B363" si="14">B332</f>
        <v>6</v>
      </c>
      <c r="C333" s="71">
        <f t="shared" si="12"/>
        <v>60505</v>
      </c>
      <c r="D333" s="74">
        <v>505</v>
      </c>
      <c r="E333" s="11" t="s">
        <v>655</v>
      </c>
      <c r="F333" s="11" t="s">
        <v>656</v>
      </c>
      <c r="G333" s="11" t="s">
        <v>657</v>
      </c>
      <c r="H333" s="11" t="s">
        <v>658</v>
      </c>
      <c r="I333" s="11"/>
      <c r="J333" s="11"/>
      <c r="K333" s="11"/>
      <c r="L333" s="11"/>
      <c r="M333" s="11"/>
      <c r="N333" s="11"/>
      <c r="O333" s="11"/>
      <c r="P333" s="11"/>
      <c r="Q333" s="11"/>
      <c r="R333" s="10"/>
      <c r="S333" s="10" t="s">
        <v>659</v>
      </c>
      <c r="T333" s="10" t="s">
        <v>660</v>
      </c>
      <c r="U333" s="10" t="s">
        <v>661</v>
      </c>
      <c r="V333" s="10" t="s">
        <v>662</v>
      </c>
      <c r="W333" s="5" t="str">
        <f>IF($D333="","",VLOOKUP($B333,メインシート!$B$13:$D$18,2,0))</f>
        <v>福島</v>
      </c>
      <c r="X333" s="5">
        <f t="shared" si="13"/>
        <v>60505</v>
      </c>
      <c r="Z333" s="1" t="s">
        <v>1075</v>
      </c>
    </row>
    <row r="334" spans="1:26" hidden="1" outlineLevel="1" x14ac:dyDescent="0.15">
      <c r="A334" s="9">
        <v>331</v>
      </c>
      <c r="B334" s="5">
        <f t="shared" si="14"/>
        <v>6</v>
      </c>
      <c r="C334" s="71">
        <f t="shared" si="12"/>
        <v>60507</v>
      </c>
      <c r="D334" s="74">
        <v>507</v>
      </c>
      <c r="E334" s="11" t="s">
        <v>663</v>
      </c>
      <c r="F334" s="11" t="s">
        <v>664</v>
      </c>
      <c r="G334" s="11" t="s">
        <v>665</v>
      </c>
      <c r="H334" s="11" t="s">
        <v>666</v>
      </c>
      <c r="I334" s="11"/>
      <c r="J334" s="11"/>
      <c r="K334" s="11"/>
      <c r="L334" s="11"/>
      <c r="M334" s="11"/>
      <c r="N334" s="11"/>
      <c r="O334" s="11"/>
      <c r="P334" s="11"/>
      <c r="Q334" s="11"/>
      <c r="R334" s="10"/>
      <c r="S334" s="10" t="s">
        <v>667</v>
      </c>
      <c r="T334" s="10" t="s">
        <v>668</v>
      </c>
      <c r="U334" s="10" t="s">
        <v>669</v>
      </c>
      <c r="V334" s="10" t="s">
        <v>670</v>
      </c>
      <c r="W334" s="5" t="str">
        <f>IF($D334="","",VLOOKUP($B334,メインシート!$B$13:$D$18,2,0))</f>
        <v>福島</v>
      </c>
      <c r="X334" s="5">
        <f t="shared" si="13"/>
        <v>60507</v>
      </c>
      <c r="Z334" s="1" t="s">
        <v>1076</v>
      </c>
    </row>
    <row r="335" spans="1:26" hidden="1" outlineLevel="1" x14ac:dyDescent="0.15">
      <c r="A335" s="9">
        <v>332</v>
      </c>
      <c r="B335" s="5">
        <f t="shared" si="14"/>
        <v>6</v>
      </c>
      <c r="C335" s="71">
        <f t="shared" si="12"/>
        <v>60509</v>
      </c>
      <c r="D335" s="74">
        <v>509</v>
      </c>
      <c r="E335" s="11" t="s">
        <v>671</v>
      </c>
      <c r="F335" s="11" t="s">
        <v>672</v>
      </c>
      <c r="G335" s="11" t="s">
        <v>673</v>
      </c>
      <c r="H335" s="11" t="s">
        <v>674</v>
      </c>
      <c r="I335" s="11"/>
      <c r="J335" s="11"/>
      <c r="K335" s="11"/>
      <c r="L335" s="11"/>
      <c r="M335" s="11"/>
      <c r="N335" s="11"/>
      <c r="O335" s="11"/>
      <c r="P335" s="11"/>
      <c r="Q335" s="11"/>
      <c r="R335" s="10"/>
      <c r="S335" s="10" t="s">
        <v>675</v>
      </c>
      <c r="T335" s="10" t="s">
        <v>676</v>
      </c>
      <c r="U335" s="10" t="s">
        <v>677</v>
      </c>
      <c r="V335" s="10" t="s">
        <v>678</v>
      </c>
      <c r="W335" s="5" t="str">
        <f>IF($D335="","",VLOOKUP($B335,メインシート!$B$13:$D$18,2,0))</f>
        <v>福島</v>
      </c>
      <c r="X335" s="5">
        <f t="shared" si="13"/>
        <v>60509</v>
      </c>
      <c r="Z335" s="1" t="s">
        <v>1077</v>
      </c>
    </row>
    <row r="336" spans="1:26" hidden="1" outlineLevel="1" x14ac:dyDescent="0.15">
      <c r="A336" s="9">
        <v>333</v>
      </c>
      <c r="B336" s="5">
        <f t="shared" si="14"/>
        <v>6</v>
      </c>
      <c r="C336" s="71">
        <f t="shared" si="12"/>
        <v>60511</v>
      </c>
      <c r="D336" s="74">
        <v>511</v>
      </c>
      <c r="E336" s="11" t="s">
        <v>679</v>
      </c>
      <c r="F336" s="11" t="s">
        <v>680</v>
      </c>
      <c r="G336" s="11" t="s">
        <v>681</v>
      </c>
      <c r="H336" s="11" t="s">
        <v>682</v>
      </c>
      <c r="I336" s="11"/>
      <c r="J336" s="11"/>
      <c r="K336" s="11"/>
      <c r="L336" s="11"/>
      <c r="M336" s="11"/>
      <c r="N336" s="11"/>
      <c r="O336" s="11"/>
      <c r="P336" s="11"/>
      <c r="Q336" s="11"/>
      <c r="R336" s="10"/>
      <c r="S336" s="10" t="s">
        <v>683</v>
      </c>
      <c r="T336" s="10" t="s">
        <v>684</v>
      </c>
      <c r="U336" s="10" t="s">
        <v>685</v>
      </c>
      <c r="V336" s="10" t="s">
        <v>686</v>
      </c>
      <c r="W336" s="5" t="str">
        <f>IF($D336="","",VLOOKUP($B336,メインシート!$B$13:$D$18,2,0))</f>
        <v>福島</v>
      </c>
      <c r="X336" s="5">
        <f t="shared" si="13"/>
        <v>60511</v>
      </c>
      <c r="Z336" s="1" t="s">
        <v>1078</v>
      </c>
    </row>
    <row r="337" spans="1:27" hidden="1" outlineLevel="1" x14ac:dyDescent="0.15">
      <c r="A337" s="9">
        <v>334</v>
      </c>
      <c r="B337" s="5">
        <f t="shared" si="14"/>
        <v>6</v>
      </c>
      <c r="C337" s="71">
        <f t="shared" si="12"/>
        <v>60512</v>
      </c>
      <c r="D337" s="74">
        <v>512</v>
      </c>
      <c r="E337" s="11" t="s">
        <v>687</v>
      </c>
      <c r="F337" s="11" t="s">
        <v>688</v>
      </c>
      <c r="G337" s="11" t="s">
        <v>689</v>
      </c>
      <c r="H337" s="11" t="s">
        <v>690</v>
      </c>
      <c r="I337" s="11"/>
      <c r="J337" s="11"/>
      <c r="K337" s="11"/>
      <c r="L337" s="11"/>
      <c r="M337" s="11"/>
      <c r="N337" s="11"/>
      <c r="O337" s="11"/>
      <c r="P337" s="11"/>
      <c r="Q337" s="11"/>
      <c r="R337" s="10"/>
      <c r="S337" s="10" t="s">
        <v>691</v>
      </c>
      <c r="T337" s="10" t="s">
        <v>692</v>
      </c>
      <c r="U337" s="10" t="s">
        <v>693</v>
      </c>
      <c r="V337" s="10" t="s">
        <v>983</v>
      </c>
      <c r="W337" s="5" t="str">
        <f>IF($D337="","",VLOOKUP($B337,メインシート!$B$13:$D$18,2,0))</f>
        <v>福島</v>
      </c>
      <c r="X337" s="5">
        <f t="shared" si="13"/>
        <v>60512</v>
      </c>
      <c r="Z337" s="1" t="s">
        <v>1079</v>
      </c>
    </row>
    <row r="338" spans="1:27" hidden="1" outlineLevel="1" x14ac:dyDescent="0.15">
      <c r="A338" s="9">
        <v>335</v>
      </c>
      <c r="B338" s="5">
        <f t="shared" si="14"/>
        <v>6</v>
      </c>
      <c r="C338" s="71">
        <f t="shared" si="12"/>
        <v>60514</v>
      </c>
      <c r="D338" s="74">
        <v>514</v>
      </c>
      <c r="E338" s="11" t="s">
        <v>694</v>
      </c>
      <c r="F338" s="11" t="s">
        <v>695</v>
      </c>
      <c r="G338" s="11" t="s">
        <v>696</v>
      </c>
      <c r="H338" s="11" t="s">
        <v>697</v>
      </c>
      <c r="I338" s="11"/>
      <c r="J338" s="11"/>
      <c r="K338" s="11"/>
      <c r="L338" s="11"/>
      <c r="M338" s="11"/>
      <c r="N338" s="11"/>
      <c r="O338" s="11"/>
      <c r="P338" s="11"/>
      <c r="Q338" s="11"/>
      <c r="R338" s="10"/>
      <c r="S338" s="10" t="s">
        <v>698</v>
      </c>
      <c r="T338" s="10" t="s">
        <v>699</v>
      </c>
      <c r="U338" s="10" t="s">
        <v>700</v>
      </c>
      <c r="V338" s="10" t="s">
        <v>984</v>
      </c>
      <c r="W338" s="5" t="str">
        <f>IF($D338="","",VLOOKUP($B338,メインシート!$B$13:$D$18,2,0))</f>
        <v>福島</v>
      </c>
      <c r="X338" s="5">
        <f t="shared" si="13"/>
        <v>60514</v>
      </c>
      <c r="Z338" s="1" t="s">
        <v>1080</v>
      </c>
    </row>
    <row r="339" spans="1:27" hidden="1" outlineLevel="1" x14ac:dyDescent="0.15">
      <c r="A339" s="9">
        <v>336</v>
      </c>
      <c r="B339" s="5">
        <f t="shared" si="14"/>
        <v>6</v>
      </c>
      <c r="C339" s="71">
        <f t="shared" si="12"/>
        <v>60518</v>
      </c>
      <c r="D339" s="74">
        <v>518</v>
      </c>
      <c r="E339" s="11" t="s">
        <v>701</v>
      </c>
      <c r="F339" s="11" t="s">
        <v>702</v>
      </c>
      <c r="G339" s="11" t="s">
        <v>703</v>
      </c>
      <c r="H339" s="11" t="s">
        <v>704</v>
      </c>
      <c r="I339" s="11"/>
      <c r="J339" s="11"/>
      <c r="K339" s="11"/>
      <c r="L339" s="11"/>
      <c r="M339" s="11"/>
      <c r="N339" s="11"/>
      <c r="O339" s="11"/>
      <c r="P339" s="11"/>
      <c r="Q339" s="11"/>
      <c r="R339" s="10"/>
      <c r="S339" s="10" t="s">
        <v>705</v>
      </c>
      <c r="T339" s="10" t="s">
        <v>706</v>
      </c>
      <c r="U339" s="10" t="s">
        <v>707</v>
      </c>
      <c r="V339" s="10" t="s">
        <v>985</v>
      </c>
      <c r="W339" s="5" t="str">
        <f>IF($D339="","",VLOOKUP($B339,メインシート!$B$13:$D$18,2,0))</f>
        <v>福島</v>
      </c>
      <c r="X339" s="5">
        <f t="shared" si="13"/>
        <v>60518</v>
      </c>
      <c r="Z339" s="1" t="s">
        <v>1081</v>
      </c>
    </row>
    <row r="340" spans="1:27" hidden="1" outlineLevel="1" x14ac:dyDescent="0.15">
      <c r="A340" s="9">
        <v>337</v>
      </c>
      <c r="B340" s="5">
        <f t="shared" si="14"/>
        <v>6</v>
      </c>
      <c r="C340" s="71">
        <f t="shared" si="12"/>
        <v>60519</v>
      </c>
      <c r="D340" s="74">
        <v>519</v>
      </c>
      <c r="E340" s="11" t="s">
        <v>585</v>
      </c>
      <c r="F340" s="11" t="s">
        <v>586</v>
      </c>
      <c r="G340" s="11" t="s">
        <v>587</v>
      </c>
      <c r="H340" s="11" t="s">
        <v>588</v>
      </c>
      <c r="I340" s="11"/>
      <c r="J340" s="11"/>
      <c r="K340" s="11"/>
      <c r="L340" s="11"/>
      <c r="M340" s="11"/>
      <c r="N340" s="11"/>
      <c r="O340" s="11"/>
      <c r="P340" s="11"/>
      <c r="Q340" s="11"/>
      <c r="R340" s="10"/>
      <c r="S340" s="10" t="s">
        <v>589</v>
      </c>
      <c r="T340" s="10" t="s">
        <v>590</v>
      </c>
      <c r="U340" s="10" t="s">
        <v>591</v>
      </c>
      <c r="V340" s="10" t="s">
        <v>986</v>
      </c>
      <c r="W340" s="5" t="str">
        <f>IF($D340="","",VLOOKUP($B340,メインシート!$B$13:$D$18,2,0))</f>
        <v>福島</v>
      </c>
      <c r="X340" s="5">
        <f t="shared" si="13"/>
        <v>60519</v>
      </c>
      <c r="Z340" s="1" t="s">
        <v>1082</v>
      </c>
    </row>
    <row r="341" spans="1:27" hidden="1" outlineLevel="1" x14ac:dyDescent="0.15">
      <c r="A341" s="9">
        <v>338</v>
      </c>
      <c r="B341" s="5">
        <f t="shared" si="14"/>
        <v>6</v>
      </c>
      <c r="C341" s="71">
        <f t="shared" si="12"/>
        <v>60520</v>
      </c>
      <c r="D341" s="74">
        <v>520</v>
      </c>
      <c r="E341" s="11" t="s">
        <v>708</v>
      </c>
      <c r="F341" s="11" t="s">
        <v>709</v>
      </c>
      <c r="G341" s="11" t="s">
        <v>710</v>
      </c>
      <c r="H341" s="11" t="s">
        <v>711</v>
      </c>
      <c r="I341" s="11"/>
      <c r="J341" s="11"/>
      <c r="K341" s="11"/>
      <c r="L341" s="11"/>
      <c r="M341" s="11"/>
      <c r="N341" s="11"/>
      <c r="O341" s="11"/>
      <c r="P341" s="11"/>
      <c r="Q341" s="11"/>
      <c r="R341" s="10"/>
      <c r="S341" s="10" t="s">
        <v>712</v>
      </c>
      <c r="T341" s="10" t="s">
        <v>713</v>
      </c>
      <c r="U341" s="10" t="s">
        <v>714</v>
      </c>
      <c r="V341" s="10" t="s">
        <v>987</v>
      </c>
      <c r="W341" s="5" t="str">
        <f>IF($D341="","",VLOOKUP($B341,メインシート!$B$13:$D$18,2,0))</f>
        <v>福島</v>
      </c>
      <c r="X341" s="5">
        <f t="shared" si="13"/>
        <v>60520</v>
      </c>
      <c r="Z341" s="1" t="s">
        <v>1083</v>
      </c>
    </row>
    <row r="342" spans="1:27" hidden="1" outlineLevel="1" x14ac:dyDescent="0.15">
      <c r="A342" s="9">
        <v>339</v>
      </c>
      <c r="B342" s="5">
        <f t="shared" si="14"/>
        <v>6</v>
      </c>
      <c r="C342" s="71">
        <f t="shared" si="12"/>
        <v>60521</v>
      </c>
      <c r="D342" s="74">
        <v>521</v>
      </c>
      <c r="E342" s="11" t="s">
        <v>715</v>
      </c>
      <c r="F342" s="11" t="s">
        <v>716</v>
      </c>
      <c r="G342" s="11" t="s">
        <v>988</v>
      </c>
      <c r="H342" s="11" t="s">
        <v>717</v>
      </c>
      <c r="I342" s="11"/>
      <c r="J342" s="11"/>
      <c r="K342" s="11"/>
      <c r="L342" s="11"/>
      <c r="M342" s="11"/>
      <c r="N342" s="11"/>
      <c r="O342" s="11"/>
      <c r="P342" s="11"/>
      <c r="Q342" s="11"/>
      <c r="R342" s="10"/>
      <c r="S342" s="10" t="s">
        <v>718</v>
      </c>
      <c r="T342" s="10" t="s">
        <v>719</v>
      </c>
      <c r="U342" s="10" t="s">
        <v>720</v>
      </c>
      <c r="V342" s="10" t="s">
        <v>989</v>
      </c>
      <c r="W342" s="5" t="str">
        <f>IF($D342="","",VLOOKUP($B342,メインシート!$B$13:$D$18,2,0))</f>
        <v>福島</v>
      </c>
      <c r="X342" s="5">
        <f t="shared" si="13"/>
        <v>60521</v>
      </c>
      <c r="Z342" s="1" t="s">
        <v>1084</v>
      </c>
    </row>
    <row r="343" spans="1:27" hidden="1" outlineLevel="1" x14ac:dyDescent="0.15">
      <c r="A343" s="9">
        <v>340</v>
      </c>
      <c r="B343" s="5">
        <f t="shared" si="14"/>
        <v>6</v>
      </c>
      <c r="C343" s="71">
        <f t="shared" si="12"/>
        <v>60601</v>
      </c>
      <c r="D343" s="74">
        <v>601</v>
      </c>
      <c r="E343" s="11" t="s">
        <v>721</v>
      </c>
      <c r="F343" s="11" t="s">
        <v>722</v>
      </c>
      <c r="G343" s="11" t="s">
        <v>723</v>
      </c>
      <c r="H343" s="11" t="s">
        <v>724</v>
      </c>
      <c r="I343" s="11"/>
      <c r="J343" s="11"/>
      <c r="K343" s="11"/>
      <c r="L343" s="11"/>
      <c r="M343" s="11"/>
      <c r="N343" s="11"/>
      <c r="O343" s="11"/>
      <c r="P343" s="11"/>
      <c r="Q343" s="11"/>
      <c r="R343" s="10"/>
      <c r="S343" s="10" t="s">
        <v>725</v>
      </c>
      <c r="T343" s="10" t="s">
        <v>726</v>
      </c>
      <c r="U343" s="10" t="s">
        <v>727</v>
      </c>
      <c r="V343" s="10" t="s">
        <v>728</v>
      </c>
      <c r="W343" s="5" t="str">
        <f>IF($D343="","",VLOOKUP($B343,メインシート!$B$13:$D$18,2,0))</f>
        <v>福島</v>
      </c>
      <c r="X343" s="5">
        <f t="shared" si="13"/>
        <v>60601</v>
      </c>
      <c r="Z343" s="1" t="s">
        <v>1085</v>
      </c>
      <c r="AA343" s="1" t="s">
        <v>2538</v>
      </c>
    </row>
    <row r="344" spans="1:27" hidden="1" outlineLevel="1" x14ac:dyDescent="0.15">
      <c r="A344" s="9">
        <v>341</v>
      </c>
      <c r="B344" s="5">
        <f t="shared" si="14"/>
        <v>6</v>
      </c>
      <c r="C344" s="71">
        <f t="shared" si="12"/>
        <v>60603</v>
      </c>
      <c r="D344" s="75">
        <v>603</v>
      </c>
      <c r="E344" s="11" t="s">
        <v>729</v>
      </c>
      <c r="F344" s="11" t="s">
        <v>730</v>
      </c>
      <c r="G344" s="11" t="s">
        <v>731</v>
      </c>
      <c r="H344" s="11" t="s">
        <v>732</v>
      </c>
      <c r="I344" s="11"/>
      <c r="J344" s="11"/>
      <c r="K344" s="11"/>
      <c r="L344" s="11"/>
      <c r="M344" s="11"/>
      <c r="N344" s="11"/>
      <c r="O344" s="11"/>
      <c r="P344" s="11"/>
      <c r="Q344" s="11"/>
      <c r="R344" s="9"/>
      <c r="S344" s="9" t="s">
        <v>733</v>
      </c>
      <c r="T344" s="9" t="s">
        <v>734</v>
      </c>
      <c r="U344" s="9" t="s">
        <v>735</v>
      </c>
      <c r="V344" s="9" t="s">
        <v>736</v>
      </c>
      <c r="W344" s="5" t="str">
        <f>IF($D344="","",VLOOKUP($B344,メインシート!$B$13:$D$18,2,0))</f>
        <v>福島</v>
      </c>
      <c r="X344" s="5">
        <f t="shared" si="13"/>
        <v>60603</v>
      </c>
      <c r="Z344" s="1" t="s">
        <v>1086</v>
      </c>
      <c r="AA344" s="1" t="s">
        <v>2539</v>
      </c>
    </row>
    <row r="345" spans="1:27" hidden="1" outlineLevel="1" x14ac:dyDescent="0.15">
      <c r="A345" s="9">
        <v>342</v>
      </c>
      <c r="B345" s="5">
        <f t="shared" si="14"/>
        <v>6</v>
      </c>
      <c r="C345" s="71">
        <f t="shared" si="12"/>
        <v>60610</v>
      </c>
      <c r="D345" s="73">
        <v>610</v>
      </c>
      <c r="E345" s="4" t="s">
        <v>737</v>
      </c>
      <c r="F345" s="4" t="s">
        <v>738</v>
      </c>
      <c r="G345" s="4" t="s">
        <v>739</v>
      </c>
      <c r="H345" s="4" t="s">
        <v>740</v>
      </c>
      <c r="I345" s="11"/>
      <c r="J345" s="11"/>
      <c r="K345" s="11"/>
      <c r="L345" s="11"/>
      <c r="M345" s="11"/>
      <c r="N345" s="11"/>
      <c r="O345" s="11"/>
      <c r="P345" s="11"/>
      <c r="Q345" s="11"/>
      <c r="R345" s="9"/>
      <c r="S345" s="9" t="s">
        <v>990</v>
      </c>
      <c r="T345" s="9" t="s">
        <v>741</v>
      </c>
      <c r="U345" s="9" t="s">
        <v>742</v>
      </c>
      <c r="V345" s="9" t="s">
        <v>743</v>
      </c>
      <c r="W345" s="5" t="str">
        <f>IF($D345="","",VLOOKUP($B345,メインシート!$B$13:$D$18,2,0))</f>
        <v>福島</v>
      </c>
      <c r="X345" s="5">
        <f t="shared" si="13"/>
        <v>60610</v>
      </c>
      <c r="Z345" s="1" t="s">
        <v>1087</v>
      </c>
      <c r="AA345" s="1" t="s">
        <v>2540</v>
      </c>
    </row>
    <row r="346" spans="1:27" hidden="1" outlineLevel="1" x14ac:dyDescent="0.15">
      <c r="A346" s="9">
        <v>343</v>
      </c>
      <c r="B346" s="5">
        <f t="shared" si="14"/>
        <v>6</v>
      </c>
      <c r="C346" s="71">
        <f t="shared" si="12"/>
        <v>60617</v>
      </c>
      <c r="D346" s="73">
        <v>617</v>
      </c>
      <c r="E346" s="11" t="s">
        <v>744</v>
      </c>
      <c r="F346" s="11" t="s">
        <v>745</v>
      </c>
      <c r="G346" s="11" t="s">
        <v>746</v>
      </c>
      <c r="H346" s="11" t="s">
        <v>747</v>
      </c>
      <c r="I346" s="11" t="s">
        <v>748</v>
      </c>
      <c r="J346" s="11" t="s">
        <v>1107</v>
      </c>
      <c r="K346" s="11" t="s">
        <v>101</v>
      </c>
      <c r="L346" s="11" t="s">
        <v>1108</v>
      </c>
      <c r="M346" s="11" t="s">
        <v>1107</v>
      </c>
      <c r="N346" s="11" t="s">
        <v>80</v>
      </c>
      <c r="O346" s="11" t="s">
        <v>80</v>
      </c>
      <c r="P346" s="11" t="s">
        <v>80</v>
      </c>
      <c r="Q346" s="11" t="s">
        <v>80</v>
      </c>
      <c r="R346" s="9" t="s">
        <v>1106</v>
      </c>
      <c r="S346" s="9" t="s">
        <v>749</v>
      </c>
      <c r="T346" s="9" t="s">
        <v>750</v>
      </c>
      <c r="U346" s="9" t="s">
        <v>751</v>
      </c>
      <c r="V346" s="9" t="s">
        <v>752</v>
      </c>
      <c r="W346" s="5" t="str">
        <f>IF($D346="","",VLOOKUP($B346,メインシート!$B$13:$D$18,2,0))</f>
        <v>福島</v>
      </c>
      <c r="X346" s="5">
        <v>60617</v>
      </c>
      <c r="Z346" s="1" t="s">
        <v>1109</v>
      </c>
      <c r="AA346" s="1" t="s">
        <v>1110</v>
      </c>
    </row>
    <row r="347" spans="1:27" hidden="1" outlineLevel="1" x14ac:dyDescent="0.15">
      <c r="A347" s="9">
        <v>344</v>
      </c>
      <c r="B347" s="5">
        <f t="shared" si="14"/>
        <v>6</v>
      </c>
      <c r="C347" s="71">
        <f t="shared" si="12"/>
        <v>60620</v>
      </c>
      <c r="D347" s="73">
        <v>620</v>
      </c>
      <c r="E347" s="11" t="s">
        <v>753</v>
      </c>
      <c r="F347" s="11" t="s">
        <v>754</v>
      </c>
      <c r="G347" s="11" t="s">
        <v>755</v>
      </c>
      <c r="H347" s="11" t="s">
        <v>756</v>
      </c>
      <c r="I347" s="11"/>
      <c r="J347" s="11"/>
      <c r="K347" s="11"/>
      <c r="L347" s="11"/>
      <c r="M347" s="11"/>
      <c r="N347" s="11"/>
      <c r="O347" s="11"/>
      <c r="P347" s="11"/>
      <c r="Q347" s="11"/>
      <c r="R347" s="9"/>
      <c r="S347" s="9" t="s">
        <v>757</v>
      </c>
      <c r="T347" s="9" t="s">
        <v>758</v>
      </c>
      <c r="U347" s="9" t="s">
        <v>759</v>
      </c>
      <c r="V347" s="9" t="s">
        <v>760</v>
      </c>
      <c r="W347" s="5" t="str">
        <f>IF($D347="","",VLOOKUP($B347,メインシート!$B$13:$D$18,2,0))</f>
        <v>福島</v>
      </c>
      <c r="X347" s="5">
        <f t="shared" si="13"/>
        <v>60620</v>
      </c>
      <c r="Z347" s="1" t="s">
        <v>1088</v>
      </c>
      <c r="AA347" s="1" t="s">
        <v>2541</v>
      </c>
    </row>
    <row r="348" spans="1:27" hidden="1" outlineLevel="1" x14ac:dyDescent="0.15">
      <c r="A348" s="9">
        <v>345</v>
      </c>
      <c r="B348" s="5">
        <f t="shared" si="14"/>
        <v>6</v>
      </c>
      <c r="C348" s="71">
        <f t="shared" si="12"/>
        <v>60622</v>
      </c>
      <c r="D348" s="73">
        <v>622</v>
      </c>
      <c r="E348" s="11" t="s">
        <v>761</v>
      </c>
      <c r="F348" s="11" t="s">
        <v>762</v>
      </c>
      <c r="G348" s="11" t="s">
        <v>763</v>
      </c>
      <c r="H348" s="11" t="s">
        <v>764</v>
      </c>
      <c r="I348" s="11"/>
      <c r="J348" s="11"/>
      <c r="K348" s="11"/>
      <c r="L348" s="11"/>
      <c r="M348" s="11"/>
      <c r="N348" s="11"/>
      <c r="O348" s="11"/>
      <c r="P348" s="11"/>
      <c r="Q348" s="11"/>
      <c r="R348" s="9"/>
      <c r="S348" s="9" t="s">
        <v>765</v>
      </c>
      <c r="T348" s="9" t="s">
        <v>766</v>
      </c>
      <c r="U348" s="9" t="s">
        <v>767</v>
      </c>
      <c r="V348" s="9" t="s">
        <v>768</v>
      </c>
      <c r="W348" s="5" t="str">
        <f>IF($D348="","",VLOOKUP($B348,メインシート!$B$13:$D$18,2,0))</f>
        <v>福島</v>
      </c>
      <c r="X348" s="5">
        <f t="shared" si="13"/>
        <v>60622</v>
      </c>
      <c r="Z348" s="1" t="s">
        <v>1089</v>
      </c>
      <c r="AA348" s="1" t="s">
        <v>2542</v>
      </c>
    </row>
    <row r="349" spans="1:27" hidden="1" outlineLevel="1" x14ac:dyDescent="0.15">
      <c r="A349" s="9">
        <v>346</v>
      </c>
      <c r="B349" s="5">
        <f t="shared" si="14"/>
        <v>6</v>
      </c>
      <c r="C349" s="71">
        <f t="shared" si="12"/>
        <v>60623</v>
      </c>
      <c r="D349" s="73">
        <v>623</v>
      </c>
      <c r="E349" s="11" t="s">
        <v>769</v>
      </c>
      <c r="F349" s="11" t="s">
        <v>770</v>
      </c>
      <c r="G349" s="11" t="s">
        <v>771</v>
      </c>
      <c r="H349" s="11" t="s">
        <v>772</v>
      </c>
      <c r="I349" s="11"/>
      <c r="J349" s="11"/>
      <c r="K349" s="11"/>
      <c r="L349" s="11"/>
      <c r="M349" s="11"/>
      <c r="N349" s="11"/>
      <c r="O349" s="11"/>
      <c r="P349" s="11"/>
      <c r="Q349" s="11"/>
      <c r="R349" s="9"/>
      <c r="S349" s="9" t="s">
        <v>773</v>
      </c>
      <c r="T349" s="9" t="s">
        <v>774</v>
      </c>
      <c r="U349" s="9" t="s">
        <v>767</v>
      </c>
      <c r="V349" s="9" t="s">
        <v>775</v>
      </c>
      <c r="W349" s="5" t="str">
        <f>IF($D349="","",VLOOKUP($B349,メインシート!$B$13:$D$18,2,0))</f>
        <v>福島</v>
      </c>
      <c r="X349" s="5">
        <f t="shared" si="13"/>
        <v>60623</v>
      </c>
      <c r="Z349" s="1" t="s">
        <v>1090</v>
      </c>
      <c r="AA349" s="1" t="s">
        <v>2543</v>
      </c>
    </row>
    <row r="350" spans="1:27" hidden="1" outlineLevel="1" x14ac:dyDescent="0.15">
      <c r="A350" s="9">
        <v>347</v>
      </c>
      <c r="B350" s="5">
        <f t="shared" si="14"/>
        <v>6</v>
      </c>
      <c r="C350" s="71">
        <f t="shared" si="12"/>
        <v>60625</v>
      </c>
      <c r="D350" s="73">
        <v>625</v>
      </c>
      <c r="E350" s="11" t="s">
        <v>776</v>
      </c>
      <c r="F350" s="11" t="s">
        <v>777</v>
      </c>
      <c r="G350" s="11" t="s">
        <v>778</v>
      </c>
      <c r="H350" s="11" t="s">
        <v>779</v>
      </c>
      <c r="I350" s="11"/>
      <c r="J350" s="11"/>
      <c r="K350" s="11"/>
      <c r="L350" s="11"/>
      <c r="M350" s="11"/>
      <c r="N350" s="11"/>
      <c r="O350" s="11"/>
      <c r="P350" s="11"/>
      <c r="Q350" s="11"/>
      <c r="R350" s="9"/>
      <c r="S350" s="9" t="s">
        <v>780</v>
      </c>
      <c r="T350" s="9" t="s">
        <v>781</v>
      </c>
      <c r="U350" s="9" t="s">
        <v>782</v>
      </c>
      <c r="V350" s="9" t="s">
        <v>783</v>
      </c>
      <c r="W350" s="5" t="str">
        <f>IF($D350="","",VLOOKUP($B350,メインシート!$B$13:$D$18,2,0))</f>
        <v>福島</v>
      </c>
      <c r="X350" s="5">
        <f t="shared" si="13"/>
        <v>60625</v>
      </c>
      <c r="Z350" s="1" t="s">
        <v>1091</v>
      </c>
      <c r="AA350" s="1" t="s">
        <v>2544</v>
      </c>
    </row>
    <row r="351" spans="1:27" hidden="1" outlineLevel="1" x14ac:dyDescent="0.15">
      <c r="A351" s="9">
        <v>348</v>
      </c>
      <c r="B351" s="5">
        <f t="shared" si="14"/>
        <v>6</v>
      </c>
      <c r="C351" s="71">
        <f t="shared" si="12"/>
        <v>60626</v>
      </c>
      <c r="D351" s="73">
        <v>626</v>
      </c>
      <c r="E351" s="11" t="s">
        <v>784</v>
      </c>
      <c r="F351" s="11" t="s">
        <v>785</v>
      </c>
      <c r="G351" s="11" t="s">
        <v>786</v>
      </c>
      <c r="H351" s="11" t="s">
        <v>787</v>
      </c>
      <c r="I351" s="11"/>
      <c r="J351" s="11"/>
      <c r="K351" s="11"/>
      <c r="L351" s="11"/>
      <c r="M351" s="11"/>
      <c r="N351" s="11"/>
      <c r="O351" s="11"/>
      <c r="P351" s="11"/>
      <c r="Q351" s="11"/>
      <c r="R351" s="9"/>
      <c r="S351" s="9" t="s">
        <v>788</v>
      </c>
      <c r="T351" s="9" t="s">
        <v>789</v>
      </c>
      <c r="U351" s="9" t="s">
        <v>790</v>
      </c>
      <c r="V351" s="9" t="s">
        <v>791</v>
      </c>
      <c r="W351" s="5" t="str">
        <f>IF($D351="","",VLOOKUP($B351,メインシート!$B$13:$D$18,2,0))</f>
        <v>福島</v>
      </c>
      <c r="X351" s="5">
        <f t="shared" si="13"/>
        <v>60626</v>
      </c>
      <c r="Z351" s="1" t="s">
        <v>1092</v>
      </c>
      <c r="AA351" s="1" t="s">
        <v>2545</v>
      </c>
    </row>
    <row r="352" spans="1:27" hidden="1" outlineLevel="1" x14ac:dyDescent="0.15">
      <c r="A352" s="9">
        <v>349</v>
      </c>
      <c r="B352" s="5">
        <f t="shared" si="14"/>
        <v>6</v>
      </c>
      <c r="C352" s="71">
        <f t="shared" si="12"/>
        <v>60627</v>
      </c>
      <c r="D352" s="73">
        <v>627</v>
      </c>
      <c r="E352" s="11" t="s">
        <v>792</v>
      </c>
      <c r="F352" s="11" t="s">
        <v>793</v>
      </c>
      <c r="G352" s="11" t="s">
        <v>794</v>
      </c>
      <c r="H352" s="11" t="s">
        <v>795</v>
      </c>
      <c r="I352" s="11"/>
      <c r="J352" s="11"/>
      <c r="K352" s="11"/>
      <c r="L352" s="11"/>
      <c r="M352" s="11"/>
      <c r="N352" s="11"/>
      <c r="O352" s="11"/>
      <c r="P352" s="11"/>
      <c r="Q352" s="11"/>
      <c r="R352" s="9"/>
      <c r="S352" s="9" t="s">
        <v>796</v>
      </c>
      <c r="T352" s="9" t="s">
        <v>797</v>
      </c>
      <c r="U352" s="9" t="s">
        <v>798</v>
      </c>
      <c r="V352" s="9" t="s">
        <v>799</v>
      </c>
      <c r="W352" s="5" t="str">
        <f>IF($D352="","",VLOOKUP($B352,メインシート!$B$13:$D$18,2,0))</f>
        <v>福島</v>
      </c>
      <c r="X352" s="5">
        <f t="shared" si="13"/>
        <v>60627</v>
      </c>
      <c r="Z352" s="1" t="s">
        <v>1093</v>
      </c>
      <c r="AA352" s="1" t="s">
        <v>2546</v>
      </c>
    </row>
    <row r="353" spans="1:27" hidden="1" outlineLevel="1" x14ac:dyDescent="0.15">
      <c r="A353" s="9">
        <v>350</v>
      </c>
      <c r="B353" s="5">
        <f t="shared" si="14"/>
        <v>6</v>
      </c>
      <c r="C353" s="71">
        <f t="shared" si="12"/>
        <v>60628</v>
      </c>
      <c r="D353" s="73">
        <v>628</v>
      </c>
      <c r="E353" s="11" t="s">
        <v>800</v>
      </c>
      <c r="F353" s="11" t="s">
        <v>801</v>
      </c>
      <c r="G353" s="11" t="s">
        <v>802</v>
      </c>
      <c r="H353" s="11" t="s">
        <v>803</v>
      </c>
      <c r="I353" s="11"/>
      <c r="J353" s="11"/>
      <c r="K353" s="11"/>
      <c r="L353" s="11"/>
      <c r="M353" s="11"/>
      <c r="N353" s="11"/>
      <c r="O353" s="11"/>
      <c r="P353" s="11"/>
      <c r="Q353" s="11"/>
      <c r="R353" s="9"/>
      <c r="S353" s="9" t="s">
        <v>804</v>
      </c>
      <c r="T353" s="9" t="s">
        <v>805</v>
      </c>
      <c r="U353" s="9" t="s">
        <v>798</v>
      </c>
      <c r="V353" s="9" t="s">
        <v>806</v>
      </c>
      <c r="W353" s="5" t="str">
        <f>IF($D353="","",VLOOKUP($B353,メインシート!$B$13:$D$18,2,0))</f>
        <v>福島</v>
      </c>
      <c r="X353" s="5">
        <f t="shared" si="13"/>
        <v>60628</v>
      </c>
      <c r="Z353" s="1" t="s">
        <v>1094</v>
      </c>
      <c r="AA353" s="1" t="s">
        <v>2547</v>
      </c>
    </row>
    <row r="354" spans="1:27" hidden="1" outlineLevel="1" x14ac:dyDescent="0.15">
      <c r="A354" s="9">
        <v>351</v>
      </c>
      <c r="B354" s="5">
        <f t="shared" si="14"/>
        <v>6</v>
      </c>
      <c r="C354" s="71">
        <f t="shared" si="12"/>
        <v>60630</v>
      </c>
      <c r="D354" s="73">
        <v>630</v>
      </c>
      <c r="E354" s="11" t="s">
        <v>807</v>
      </c>
      <c r="F354" s="11" t="s">
        <v>808</v>
      </c>
      <c r="G354" s="11" t="s">
        <v>809</v>
      </c>
      <c r="H354" s="11" t="s">
        <v>810</v>
      </c>
      <c r="I354" s="11"/>
      <c r="J354" s="11"/>
      <c r="K354" s="11"/>
      <c r="L354" s="11"/>
      <c r="M354" s="11"/>
      <c r="N354" s="11"/>
      <c r="O354" s="11"/>
      <c r="P354" s="11"/>
      <c r="Q354" s="11"/>
      <c r="R354" s="9"/>
      <c r="S354" s="9" t="s">
        <v>811</v>
      </c>
      <c r="T354" s="9" t="s">
        <v>812</v>
      </c>
      <c r="U354" s="9" t="s">
        <v>813</v>
      </c>
      <c r="V354" s="9" t="s">
        <v>814</v>
      </c>
      <c r="W354" s="5" t="str">
        <f>IF($D354="","",VLOOKUP($B354,メインシート!$B$13:$D$18,2,0))</f>
        <v>福島</v>
      </c>
      <c r="X354" s="5">
        <f t="shared" si="13"/>
        <v>60630</v>
      </c>
      <c r="Z354" s="1" t="s">
        <v>1095</v>
      </c>
      <c r="AA354" s="1" t="s">
        <v>2548</v>
      </c>
    </row>
    <row r="355" spans="1:27" hidden="1" outlineLevel="1" x14ac:dyDescent="0.15">
      <c r="A355" s="9">
        <v>352</v>
      </c>
      <c r="B355" s="5">
        <f t="shared" si="14"/>
        <v>6</v>
      </c>
      <c r="C355" s="71">
        <f t="shared" si="12"/>
        <v>60631</v>
      </c>
      <c r="D355" s="73">
        <v>631</v>
      </c>
      <c r="E355" s="11" t="s">
        <v>815</v>
      </c>
      <c r="F355" s="11" t="s">
        <v>816</v>
      </c>
      <c r="G355" s="11" t="s">
        <v>817</v>
      </c>
      <c r="H355" s="11" t="s">
        <v>818</v>
      </c>
      <c r="I355" s="11"/>
      <c r="J355" s="11"/>
      <c r="K355" s="11"/>
      <c r="L355" s="11"/>
      <c r="M355" s="11"/>
      <c r="N355" s="11"/>
      <c r="O355" s="11"/>
      <c r="P355" s="11"/>
      <c r="Q355" s="11"/>
      <c r="R355" s="9"/>
      <c r="S355" s="9" t="s">
        <v>819</v>
      </c>
      <c r="T355" s="9" t="s">
        <v>820</v>
      </c>
      <c r="U355" s="9" t="s">
        <v>821</v>
      </c>
      <c r="V355" s="9" t="s">
        <v>822</v>
      </c>
      <c r="W355" s="5" t="str">
        <f>IF($D355="","",VLOOKUP($B355,メインシート!$B$13:$D$18,2,0))</f>
        <v>福島</v>
      </c>
      <c r="X355" s="5">
        <f t="shared" si="13"/>
        <v>60631</v>
      </c>
      <c r="Z355" s="1" t="s">
        <v>1096</v>
      </c>
      <c r="AA355" s="1" t="s">
        <v>2549</v>
      </c>
    </row>
    <row r="356" spans="1:27" hidden="1" outlineLevel="1" x14ac:dyDescent="0.15">
      <c r="A356" s="9">
        <v>353</v>
      </c>
      <c r="B356" s="5">
        <f t="shared" si="14"/>
        <v>6</v>
      </c>
      <c r="C356" s="71">
        <f t="shared" si="12"/>
        <v>60633</v>
      </c>
      <c r="D356" s="73">
        <v>633</v>
      </c>
      <c r="E356" s="11" t="s">
        <v>823</v>
      </c>
      <c r="F356" s="11" t="s">
        <v>824</v>
      </c>
      <c r="G356" s="11" t="s">
        <v>825</v>
      </c>
      <c r="H356" s="11" t="s">
        <v>826</v>
      </c>
      <c r="I356" s="11"/>
      <c r="J356" s="11"/>
      <c r="K356" s="11"/>
      <c r="L356" s="11"/>
      <c r="M356" s="11"/>
      <c r="N356" s="11"/>
      <c r="O356" s="11"/>
      <c r="P356" s="11"/>
      <c r="Q356" s="11"/>
      <c r="R356" s="9"/>
      <c r="S356" s="9" t="s">
        <v>827</v>
      </c>
      <c r="T356" s="9" t="s">
        <v>828</v>
      </c>
      <c r="U356" s="9" t="s">
        <v>829</v>
      </c>
      <c r="V356" s="9" t="s">
        <v>991</v>
      </c>
      <c r="W356" s="5" t="str">
        <f>IF($D356="","",VLOOKUP($B356,メインシート!$B$13:$D$18,2,0))</f>
        <v>福島</v>
      </c>
      <c r="X356" s="5">
        <f t="shared" si="13"/>
        <v>60633</v>
      </c>
      <c r="Z356" s="1" t="s">
        <v>1097</v>
      </c>
      <c r="AA356" s="1" t="s">
        <v>2550</v>
      </c>
    </row>
    <row r="357" spans="1:27" hidden="1" outlineLevel="1" x14ac:dyDescent="0.15">
      <c r="A357" s="9">
        <v>354</v>
      </c>
      <c r="B357" s="5">
        <f t="shared" si="14"/>
        <v>6</v>
      </c>
      <c r="C357" s="71">
        <f t="shared" si="12"/>
        <v>60634</v>
      </c>
      <c r="D357" s="73">
        <v>634</v>
      </c>
      <c r="E357" s="11" t="s">
        <v>830</v>
      </c>
      <c r="F357" s="11" t="s">
        <v>831</v>
      </c>
      <c r="G357" s="11" t="s">
        <v>832</v>
      </c>
      <c r="H357" s="11" t="s">
        <v>833</v>
      </c>
      <c r="I357" s="11"/>
      <c r="J357" s="11"/>
      <c r="K357" s="11"/>
      <c r="L357" s="11"/>
      <c r="M357" s="11"/>
      <c r="N357" s="11"/>
      <c r="O357" s="11"/>
      <c r="P357" s="11"/>
      <c r="Q357" s="11"/>
      <c r="R357" s="9"/>
      <c r="S357" s="9" t="s">
        <v>834</v>
      </c>
      <c r="T357" s="9" t="s">
        <v>835</v>
      </c>
      <c r="U357" s="9" t="s">
        <v>836</v>
      </c>
      <c r="V357" s="9" t="s">
        <v>837</v>
      </c>
      <c r="W357" s="5" t="str">
        <f>IF($D357="","",VLOOKUP($B357,メインシート!$B$13:$D$18,2,0))</f>
        <v>福島</v>
      </c>
      <c r="X357" s="5">
        <f t="shared" si="13"/>
        <v>60634</v>
      </c>
      <c r="Z357" s="1" t="s">
        <v>1098</v>
      </c>
      <c r="AA357" s="1" t="s">
        <v>2551</v>
      </c>
    </row>
    <row r="358" spans="1:27" hidden="1" outlineLevel="1" x14ac:dyDescent="0.15">
      <c r="A358" s="9">
        <v>355</v>
      </c>
      <c r="B358" s="5">
        <f t="shared" si="14"/>
        <v>6</v>
      </c>
      <c r="C358" s="71" t="str">
        <f t="shared" si="12"/>
        <v/>
      </c>
      <c r="D358" s="73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9"/>
      <c r="S358" s="9"/>
      <c r="T358" s="9"/>
      <c r="U358" s="9"/>
      <c r="V358" s="9"/>
      <c r="W358" s="5" t="str">
        <f>IF($D358="","",VLOOKUP($B358,メインシート!$B$13:$D$18,2,0))</f>
        <v/>
      </c>
      <c r="X358" s="5" t="str">
        <f t="shared" si="13"/>
        <v/>
      </c>
    </row>
    <row r="359" spans="1:27" hidden="1" outlineLevel="1" x14ac:dyDescent="0.15">
      <c r="A359" s="9">
        <v>356</v>
      </c>
      <c r="B359" s="5">
        <f t="shared" si="14"/>
        <v>6</v>
      </c>
      <c r="C359" s="71" t="str">
        <f t="shared" si="12"/>
        <v/>
      </c>
      <c r="D359" s="73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9"/>
      <c r="S359" s="9"/>
      <c r="T359" s="9"/>
      <c r="U359" s="9"/>
      <c r="V359" s="9"/>
      <c r="W359" s="5" t="str">
        <f>IF($D359="","",VLOOKUP($B359,メインシート!$B$13:$D$18,2,0))</f>
        <v/>
      </c>
      <c r="X359" s="5" t="str">
        <f t="shared" si="13"/>
        <v/>
      </c>
    </row>
    <row r="360" spans="1:27" hidden="1" outlineLevel="1" x14ac:dyDescent="0.15">
      <c r="A360" s="9">
        <v>357</v>
      </c>
      <c r="B360" s="5">
        <f t="shared" si="14"/>
        <v>6</v>
      </c>
      <c r="C360" s="71" t="str">
        <f t="shared" si="12"/>
        <v/>
      </c>
      <c r="D360" s="73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9"/>
      <c r="S360" s="9"/>
      <c r="T360" s="9"/>
      <c r="U360" s="9"/>
      <c r="V360" s="9"/>
      <c r="W360" s="5" t="str">
        <f>IF($D360="","",VLOOKUP($B360,メインシート!$B$13:$D$18,2,0))</f>
        <v/>
      </c>
      <c r="X360" s="5" t="str">
        <f t="shared" si="13"/>
        <v/>
      </c>
    </row>
    <row r="361" spans="1:27" hidden="1" outlineLevel="1" x14ac:dyDescent="0.15">
      <c r="A361" s="9">
        <v>358</v>
      </c>
      <c r="B361" s="5">
        <f t="shared" si="14"/>
        <v>6</v>
      </c>
      <c r="C361" s="71" t="str">
        <f t="shared" si="12"/>
        <v/>
      </c>
      <c r="D361" s="73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9"/>
      <c r="S361" s="9"/>
      <c r="T361" s="9"/>
      <c r="U361" s="9"/>
      <c r="V361" s="9"/>
      <c r="W361" s="5" t="str">
        <f>IF($D361="","",VLOOKUP($B361,メインシート!$B$13:$D$18,2,0))</f>
        <v/>
      </c>
      <c r="X361" s="5" t="str">
        <f t="shared" si="13"/>
        <v/>
      </c>
    </row>
    <row r="362" spans="1:27" hidden="1" outlineLevel="1" x14ac:dyDescent="0.15">
      <c r="A362" s="9">
        <v>359</v>
      </c>
      <c r="B362" s="5">
        <f t="shared" si="14"/>
        <v>6</v>
      </c>
      <c r="C362" s="71" t="str">
        <f t="shared" si="12"/>
        <v/>
      </c>
      <c r="D362" s="73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9"/>
      <c r="S362" s="9"/>
      <c r="T362" s="9"/>
      <c r="U362" s="9"/>
      <c r="V362" s="9"/>
      <c r="W362" s="5" t="str">
        <f>IF($D362="","",VLOOKUP($B362,メインシート!$B$13:$D$18,2,0))</f>
        <v/>
      </c>
      <c r="X362" s="5" t="str">
        <f t="shared" si="13"/>
        <v/>
      </c>
    </row>
    <row r="363" spans="1:27" hidden="1" outlineLevel="1" x14ac:dyDescent="0.15">
      <c r="A363" s="9">
        <v>360</v>
      </c>
      <c r="B363" s="5">
        <f t="shared" si="14"/>
        <v>6</v>
      </c>
      <c r="C363" s="71" t="str">
        <f t="shared" si="12"/>
        <v/>
      </c>
      <c r="D363" s="73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9"/>
      <c r="S363" s="9"/>
      <c r="T363" s="9"/>
      <c r="U363" s="9"/>
      <c r="V363" s="9"/>
      <c r="W363" s="5" t="str">
        <f>IF($D363="","",VLOOKUP($B363,メインシート!$B$13:$D$18,2,0))</f>
        <v/>
      </c>
      <c r="X363" s="5" t="str">
        <f t="shared" si="13"/>
        <v/>
      </c>
    </row>
    <row r="364" spans="1:27" collapsed="1" x14ac:dyDescent="0.15"/>
  </sheetData>
  <sheetProtection sheet="1" objects="1" scenarios="1"/>
  <sortState ref="E204:AA246">
    <sortCondition ref="U204:U246"/>
  </sortState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V33"/>
  <sheetViews>
    <sheetView topLeftCell="A2" zoomScale="120" zoomScaleNormal="120" workbookViewId="0">
      <selection activeCell="C6" sqref="C6:D6"/>
    </sheetView>
  </sheetViews>
  <sheetFormatPr defaultRowHeight="13.5" x14ac:dyDescent="0.15"/>
  <cols>
    <col min="1" max="1" width="4.5" style="34" customWidth="1"/>
    <col min="2" max="2" width="7.625" style="34" customWidth="1"/>
    <col min="3" max="3" width="7.25" style="34" customWidth="1"/>
    <col min="4" max="4" width="6.625" style="34" customWidth="1"/>
    <col min="5" max="5" width="3.5" style="34" customWidth="1"/>
    <col min="6" max="6" width="6" style="34" customWidth="1"/>
    <col min="7" max="7" width="4.125" style="34" customWidth="1"/>
    <col min="8" max="9" width="23.625" style="34" customWidth="1"/>
    <col min="10" max="10" width="4.625" style="34" customWidth="1"/>
    <col min="11" max="12" width="8.875" style="34" customWidth="1"/>
    <col min="13" max="14" width="18.125" style="34" customWidth="1"/>
    <col min="15" max="15" width="4.625" style="34" customWidth="1"/>
    <col min="16" max="16" width="14.125" style="34" customWidth="1"/>
    <col min="17" max="18" width="11.625" style="34" customWidth="1"/>
    <col min="19" max="19" width="10.75" style="34" customWidth="1"/>
    <col min="20" max="20" width="5.125" style="34" customWidth="1"/>
    <col min="21" max="16384" width="9" style="34"/>
  </cols>
  <sheetData>
    <row r="1" spans="1:2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1" ht="27" customHeight="1" x14ac:dyDescent="0.15">
      <c r="A2" s="33"/>
      <c r="B2" s="38" t="s">
        <v>909</v>
      </c>
      <c r="C2" s="35">
        <v>28</v>
      </c>
      <c r="D2" s="36" t="s">
        <v>910</v>
      </c>
      <c r="E2" s="33"/>
      <c r="F2" s="37" t="s">
        <v>911</v>
      </c>
      <c r="G2" s="37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1" ht="27" customHeight="1" x14ac:dyDescent="0.15">
      <c r="A3" s="33"/>
      <c r="B3" s="38" t="s">
        <v>912</v>
      </c>
      <c r="C3" s="90">
        <f>VLOOKUP($C$2,$U$22:$V$46,2,0)</f>
        <v>39</v>
      </c>
      <c r="D3" s="36" t="s">
        <v>913</v>
      </c>
      <c r="E3" s="33"/>
      <c r="F3" s="37" t="s">
        <v>914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1" ht="27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1" ht="27" customHeight="1" thickBot="1" x14ac:dyDescent="0.2">
      <c r="A5" s="33"/>
      <c r="B5" s="33"/>
      <c r="C5" s="33"/>
      <c r="D5" s="33"/>
      <c r="E5" s="33"/>
      <c r="F5" s="210" t="s">
        <v>915</v>
      </c>
      <c r="G5" s="211"/>
      <c r="H5" s="212"/>
      <c r="I5" s="213"/>
      <c r="J5" s="33"/>
      <c r="K5" s="33"/>
      <c r="L5" s="33"/>
      <c r="M5" s="33"/>
      <c r="N5" s="33"/>
      <c r="O5" s="214" t="s">
        <v>916</v>
      </c>
      <c r="P5" s="214"/>
      <c r="Q5" s="33"/>
      <c r="R5" s="33"/>
      <c r="S5" s="33"/>
    </row>
    <row r="6" spans="1:21" ht="27" customHeight="1" thickBot="1" x14ac:dyDescent="0.2">
      <c r="A6" s="33"/>
      <c r="B6" s="39" t="s">
        <v>917</v>
      </c>
      <c r="C6" s="215"/>
      <c r="D6" s="216"/>
      <c r="E6" s="33"/>
      <c r="F6" s="217" t="s">
        <v>848</v>
      </c>
      <c r="G6" s="217"/>
      <c r="H6" s="218" t="str">
        <f>IF($C$6="","",VLOOKUP($C$6,学校ﾏｽﾀｰ!$C$4:$AB$363,3,0))</f>
        <v/>
      </c>
      <c r="I6" s="219"/>
      <c r="J6" s="40"/>
      <c r="K6" s="33"/>
      <c r="L6" s="33"/>
      <c r="M6" s="33"/>
      <c r="N6" s="40"/>
      <c r="O6" s="41">
        <v>1</v>
      </c>
      <c r="P6" s="41" t="s">
        <v>918</v>
      </c>
      <c r="Q6" s="40"/>
      <c r="R6" s="40"/>
      <c r="S6" s="40"/>
    </row>
    <row r="7" spans="1:21" ht="27" customHeight="1" thickBot="1" x14ac:dyDescent="0.2">
      <c r="A7" s="33"/>
      <c r="B7" s="33"/>
      <c r="C7" s="33"/>
      <c r="D7" s="33"/>
      <c r="E7" s="33"/>
      <c r="F7" s="210" t="s">
        <v>919</v>
      </c>
      <c r="G7" s="211"/>
      <c r="H7" s="42"/>
      <c r="I7" s="40"/>
      <c r="J7" s="40"/>
      <c r="K7" s="33"/>
      <c r="L7" s="33"/>
      <c r="M7" s="33"/>
      <c r="N7" s="40"/>
      <c r="O7" s="41">
        <v>2</v>
      </c>
      <c r="P7" s="41" t="s">
        <v>920</v>
      </c>
      <c r="Q7" s="40"/>
      <c r="R7" s="40"/>
      <c r="S7" s="40"/>
      <c r="U7" s="91" t="s">
        <v>80</v>
      </c>
    </row>
    <row r="8" spans="1:21" ht="27" customHeight="1" x14ac:dyDescent="0.15">
      <c r="A8" s="33"/>
      <c r="B8" s="43" t="s">
        <v>921</v>
      </c>
      <c r="C8" s="222">
        <v>4</v>
      </c>
      <c r="D8" s="222"/>
      <c r="E8" s="33"/>
      <c r="F8" s="217" t="s">
        <v>922</v>
      </c>
      <c r="G8" s="217"/>
      <c r="H8" s="44" t="str">
        <f>IF($C$6="","",VLOOKUP($C$6,学校ﾏｽﾀｰ!$C$4:$AB$363,19,0))</f>
        <v/>
      </c>
      <c r="I8" s="40"/>
      <c r="J8" s="40"/>
      <c r="K8" s="33"/>
      <c r="L8" s="33"/>
      <c r="M8" s="33"/>
      <c r="N8" s="40"/>
      <c r="O8" s="41">
        <v>3</v>
      </c>
      <c r="P8" s="41" t="s">
        <v>59</v>
      </c>
      <c r="Q8" s="40"/>
      <c r="R8" s="40"/>
      <c r="S8" s="40"/>
      <c r="U8" s="45"/>
    </row>
    <row r="9" spans="1:21" ht="27" customHeight="1" thickBot="1" x14ac:dyDescent="0.2">
      <c r="A9" s="33"/>
      <c r="B9" s="33"/>
      <c r="C9" s="33"/>
      <c r="D9" s="33"/>
      <c r="E9" s="33"/>
      <c r="F9" s="223" t="s">
        <v>26</v>
      </c>
      <c r="G9" s="223"/>
      <c r="H9" s="218" t="str">
        <f>IF($C$6="","",VLOOKUP($C$6,学校ﾏｽﾀｰ!$C$4:$AB$363,20,0))</f>
        <v/>
      </c>
      <c r="I9" s="219"/>
      <c r="J9" s="40"/>
      <c r="K9" s="33"/>
      <c r="L9" s="33"/>
      <c r="M9" s="33"/>
      <c r="N9" s="40"/>
      <c r="O9" s="41">
        <v>4</v>
      </c>
      <c r="P9" s="41" t="s">
        <v>60</v>
      </c>
      <c r="Q9" s="40"/>
      <c r="R9" s="40"/>
      <c r="S9" s="40"/>
      <c r="U9" s="45"/>
    </row>
    <row r="10" spans="1:21" ht="27" customHeight="1" thickTop="1" thickBot="1" x14ac:dyDescent="0.2">
      <c r="A10" s="33"/>
      <c r="B10" s="224" t="str">
        <f>IF(C8="","",VLOOKUP(C8,$B$13:$D$18,2,0))</f>
        <v>山形</v>
      </c>
      <c r="C10" s="225"/>
      <c r="D10" s="46" t="s">
        <v>16</v>
      </c>
      <c r="E10" s="33"/>
      <c r="F10" s="223" t="s">
        <v>923</v>
      </c>
      <c r="G10" s="223"/>
      <c r="H10" s="47" t="str">
        <f>IF($C$6="","",VLOOKUP($C$6,学校ﾏｽﾀｰ!$C$4:$AB$363,17,0))</f>
        <v/>
      </c>
      <c r="I10" s="40"/>
      <c r="J10" s="40"/>
      <c r="K10" s="33"/>
      <c r="L10" s="33"/>
      <c r="M10" s="33"/>
      <c r="N10" s="40"/>
      <c r="O10" s="41">
        <v>5</v>
      </c>
      <c r="P10" s="41"/>
      <c r="Q10" s="40"/>
      <c r="R10" s="40"/>
      <c r="S10" s="40"/>
      <c r="U10" s="45"/>
    </row>
    <row r="11" spans="1:21" ht="27" customHeight="1" thickTop="1" thickBot="1" x14ac:dyDescent="0.2">
      <c r="A11" s="33"/>
      <c r="B11" s="33"/>
      <c r="C11" s="33"/>
      <c r="D11" s="33"/>
      <c r="E11" s="33"/>
      <c r="F11" s="226" t="s">
        <v>924</v>
      </c>
      <c r="G11" s="226"/>
      <c r="H11" s="48" t="str">
        <f>IF($C$6="","",VLOOKUP($C$6,学校ﾏｽﾀｰ!$C$4:$AB$363,18,0))</f>
        <v/>
      </c>
      <c r="I11" s="40"/>
      <c r="J11" s="40"/>
      <c r="K11" s="40"/>
      <c r="L11" s="40"/>
      <c r="M11" s="40" t="s">
        <v>925</v>
      </c>
      <c r="N11" s="40"/>
      <c r="O11" s="40"/>
      <c r="P11" s="40"/>
      <c r="Q11" s="40"/>
      <c r="R11" s="40"/>
      <c r="S11" s="40"/>
    </row>
    <row r="12" spans="1:21" ht="27" customHeight="1" thickTop="1" thickBot="1" x14ac:dyDescent="0.2">
      <c r="A12" s="33"/>
      <c r="B12" s="228" t="s">
        <v>2556</v>
      </c>
      <c r="C12" s="229"/>
      <c r="D12" s="230"/>
      <c r="E12" s="33"/>
      <c r="F12" s="223" t="s">
        <v>926</v>
      </c>
      <c r="G12" s="223"/>
      <c r="H12" s="124" t="s">
        <v>927</v>
      </c>
      <c r="I12" s="124" t="s">
        <v>928</v>
      </c>
      <c r="J12" s="227" t="s">
        <v>28</v>
      </c>
      <c r="K12" s="221"/>
      <c r="L12" s="84" t="s">
        <v>994</v>
      </c>
      <c r="M12" s="124" t="s">
        <v>923</v>
      </c>
      <c r="N12" s="124" t="s">
        <v>929</v>
      </c>
      <c r="O12" s="220" t="s">
        <v>58</v>
      </c>
      <c r="P12" s="221"/>
      <c r="Q12" s="124"/>
      <c r="R12" s="124"/>
      <c r="S12" s="40"/>
    </row>
    <row r="13" spans="1:21" ht="27" customHeight="1" thickTop="1" thickBot="1" x14ac:dyDescent="0.2">
      <c r="A13" s="33"/>
      <c r="B13" s="49">
        <v>1</v>
      </c>
      <c r="C13" s="50" t="s">
        <v>18</v>
      </c>
      <c r="D13" s="51" t="s">
        <v>16</v>
      </c>
      <c r="E13" s="55">
        <v>1</v>
      </c>
      <c r="F13" s="223" t="s">
        <v>29</v>
      </c>
      <c r="G13" s="223"/>
      <c r="H13" s="87"/>
      <c r="I13" s="87"/>
      <c r="J13" s="88"/>
      <c r="K13" s="92" t="str">
        <f>IF(J13="","",VLOOKUP(J13,$O$6:$P$10,2,0))</f>
        <v/>
      </c>
      <c r="L13" s="87"/>
      <c r="M13" s="87"/>
      <c r="N13" s="89"/>
      <c r="O13" s="88"/>
      <c r="P13" s="92" t="str">
        <f>IF(O13="","",VLOOKUP(O13,$O$6:$P$10,2,0))</f>
        <v/>
      </c>
      <c r="Q13" s="87"/>
      <c r="R13" s="87"/>
      <c r="S13" s="40"/>
    </row>
    <row r="14" spans="1:21" ht="27" customHeight="1" thickBot="1" x14ac:dyDescent="0.2">
      <c r="A14" s="33"/>
      <c r="B14" s="52">
        <v>2</v>
      </c>
      <c r="C14" s="53" t="s">
        <v>19</v>
      </c>
      <c r="D14" s="54" t="s">
        <v>16</v>
      </c>
      <c r="E14" s="33"/>
      <c r="F14" s="223" t="s">
        <v>930</v>
      </c>
      <c r="G14" s="223"/>
      <c r="H14" s="124" t="s">
        <v>927</v>
      </c>
      <c r="I14" s="124" t="s">
        <v>928</v>
      </c>
      <c r="J14" s="231" t="s">
        <v>28</v>
      </c>
      <c r="K14" s="221"/>
      <c r="L14" s="84"/>
      <c r="M14" s="124" t="s">
        <v>923</v>
      </c>
      <c r="N14" s="124" t="s">
        <v>929</v>
      </c>
      <c r="O14" s="220" t="s">
        <v>58</v>
      </c>
      <c r="P14" s="221"/>
      <c r="Q14" s="124"/>
      <c r="R14" s="124"/>
      <c r="S14" s="40"/>
    </row>
    <row r="15" spans="1:21" ht="27" customHeight="1" thickBot="1" x14ac:dyDescent="0.2">
      <c r="A15" s="33"/>
      <c r="B15" s="52">
        <v>3</v>
      </c>
      <c r="C15" s="53" t="s">
        <v>20</v>
      </c>
      <c r="D15" s="54" t="s">
        <v>16</v>
      </c>
      <c r="E15" s="55">
        <v>2</v>
      </c>
      <c r="F15" s="223" t="s">
        <v>29</v>
      </c>
      <c r="G15" s="223"/>
      <c r="H15" s="87"/>
      <c r="I15" s="87"/>
      <c r="J15" s="88"/>
      <c r="K15" s="92" t="str">
        <f>IF(J15="","",VLOOKUP(J15,$O$6:$P$10,2,0))</f>
        <v/>
      </c>
      <c r="L15" s="87"/>
      <c r="M15" s="87"/>
      <c r="N15" s="89"/>
      <c r="O15" s="88"/>
      <c r="P15" s="92" t="str">
        <f>IF(O15="","",VLOOKUP(O15,$O$6:$P$10,2,0))</f>
        <v/>
      </c>
      <c r="Q15" s="87"/>
      <c r="R15" s="87"/>
      <c r="S15" s="40"/>
    </row>
    <row r="16" spans="1:21" ht="27" customHeight="1" thickBot="1" x14ac:dyDescent="0.2">
      <c r="A16" s="33"/>
      <c r="B16" s="52">
        <v>4</v>
      </c>
      <c r="C16" s="53" t="s">
        <v>21</v>
      </c>
      <c r="D16" s="54" t="s">
        <v>16</v>
      </c>
      <c r="E16" s="33"/>
      <c r="F16" s="223" t="s">
        <v>995</v>
      </c>
      <c r="G16" s="223"/>
      <c r="H16" s="124" t="s">
        <v>927</v>
      </c>
      <c r="I16" s="124" t="s">
        <v>928</v>
      </c>
      <c r="J16" s="231" t="s">
        <v>28</v>
      </c>
      <c r="K16" s="221"/>
      <c r="L16" s="84"/>
      <c r="M16" s="124" t="s">
        <v>923</v>
      </c>
      <c r="N16" s="124" t="s">
        <v>929</v>
      </c>
      <c r="O16" s="220" t="s">
        <v>58</v>
      </c>
      <c r="P16" s="221"/>
      <c r="Q16" s="124"/>
      <c r="R16" s="124"/>
      <c r="S16" s="40"/>
    </row>
    <row r="17" spans="1:22" ht="27" customHeight="1" thickBot="1" x14ac:dyDescent="0.2">
      <c r="A17" s="33"/>
      <c r="B17" s="52">
        <v>5</v>
      </c>
      <c r="C17" s="53" t="s">
        <v>22</v>
      </c>
      <c r="D17" s="54" t="s">
        <v>16</v>
      </c>
      <c r="E17" s="55">
        <v>3</v>
      </c>
      <c r="F17" s="223" t="s">
        <v>29</v>
      </c>
      <c r="G17" s="223"/>
      <c r="H17" s="87"/>
      <c r="I17" s="87"/>
      <c r="J17" s="88"/>
      <c r="K17" s="92" t="str">
        <f>IF(J17="","",VLOOKUP(J17,$O$6:$P$10,2,0))</f>
        <v/>
      </c>
      <c r="L17" s="87"/>
      <c r="M17" s="87"/>
      <c r="N17" s="89"/>
      <c r="O17" s="88"/>
      <c r="P17" s="92" t="str">
        <f>IF(O17="","",VLOOKUP(O17,$O$6:$P$10,2,0))</f>
        <v/>
      </c>
      <c r="Q17" s="87"/>
      <c r="R17" s="87"/>
      <c r="S17" s="40"/>
    </row>
    <row r="18" spans="1:22" ht="27" customHeight="1" thickBot="1" x14ac:dyDescent="0.2">
      <c r="A18" s="33"/>
      <c r="B18" s="56">
        <v>6</v>
      </c>
      <c r="C18" s="57" t="s">
        <v>23</v>
      </c>
      <c r="D18" s="58" t="s">
        <v>16</v>
      </c>
      <c r="E18" s="33"/>
      <c r="F18" s="223" t="s">
        <v>996</v>
      </c>
      <c r="G18" s="223"/>
      <c r="H18" s="124" t="s">
        <v>927</v>
      </c>
      <c r="I18" s="124" t="s">
        <v>931</v>
      </c>
      <c r="J18" s="227" t="s">
        <v>28</v>
      </c>
      <c r="K18" s="221"/>
      <c r="L18" s="84"/>
      <c r="M18" s="124" t="s">
        <v>923</v>
      </c>
      <c r="N18" s="124" t="s">
        <v>929</v>
      </c>
      <c r="O18" s="220" t="s">
        <v>58</v>
      </c>
      <c r="P18" s="221"/>
      <c r="Q18" s="124"/>
      <c r="R18" s="124"/>
      <c r="S18" s="40"/>
    </row>
    <row r="19" spans="1:22" ht="27" customHeight="1" thickTop="1" thickBot="1" x14ac:dyDescent="0.2">
      <c r="A19" s="33"/>
      <c r="B19" s="33"/>
      <c r="C19" s="33"/>
      <c r="D19" s="33"/>
      <c r="E19" s="55">
        <v>4</v>
      </c>
      <c r="F19" s="223" t="s">
        <v>29</v>
      </c>
      <c r="G19" s="223"/>
      <c r="H19" s="87"/>
      <c r="I19" s="87"/>
      <c r="J19" s="88"/>
      <c r="K19" s="92" t="str">
        <f>IF(J19="","",VLOOKUP(J19,$O$6:$P$10,2,0))</f>
        <v/>
      </c>
      <c r="L19" s="87"/>
      <c r="M19" s="87"/>
      <c r="N19" s="89"/>
      <c r="O19" s="88"/>
      <c r="P19" s="92" t="str">
        <f>IF(O19="","",VLOOKUP(O19,$O$6:$P$10,2,0))</f>
        <v/>
      </c>
      <c r="Q19" s="87"/>
      <c r="R19" s="87"/>
      <c r="S19" s="40"/>
    </row>
    <row r="20" spans="1:22" ht="21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2" spans="1:22" x14ac:dyDescent="0.15">
      <c r="U22" s="86">
        <v>28</v>
      </c>
      <c r="V22" s="86">
        <v>39</v>
      </c>
    </row>
    <row r="23" spans="1:22" x14ac:dyDescent="0.15">
      <c r="U23" s="86">
        <v>29</v>
      </c>
      <c r="V23" s="86">
        <v>40</v>
      </c>
    </row>
    <row r="24" spans="1:22" x14ac:dyDescent="0.15">
      <c r="U24" s="86">
        <v>30</v>
      </c>
      <c r="V24" s="86">
        <v>41</v>
      </c>
    </row>
    <row r="25" spans="1:22" x14ac:dyDescent="0.15">
      <c r="U25" s="86">
        <v>31</v>
      </c>
      <c r="V25" s="86">
        <v>42</v>
      </c>
    </row>
    <row r="26" spans="1:22" x14ac:dyDescent="0.15">
      <c r="U26" s="86">
        <v>32</v>
      </c>
      <c r="V26" s="86">
        <v>43</v>
      </c>
    </row>
    <row r="27" spans="1:22" x14ac:dyDescent="0.15">
      <c r="U27" s="86">
        <v>33</v>
      </c>
      <c r="V27" s="86">
        <v>44</v>
      </c>
    </row>
    <row r="28" spans="1:22" x14ac:dyDescent="0.15">
      <c r="U28" s="86">
        <v>34</v>
      </c>
      <c r="V28" s="86">
        <v>45</v>
      </c>
    </row>
    <row r="29" spans="1:22" x14ac:dyDescent="0.15">
      <c r="U29" s="86">
        <v>35</v>
      </c>
      <c r="V29" s="86">
        <v>46</v>
      </c>
    </row>
    <row r="30" spans="1:22" x14ac:dyDescent="0.15">
      <c r="U30" s="86">
        <v>36</v>
      </c>
      <c r="V30" s="86">
        <v>47</v>
      </c>
    </row>
    <row r="31" spans="1:22" x14ac:dyDescent="0.15">
      <c r="U31" s="86">
        <v>37</v>
      </c>
      <c r="V31" s="86">
        <v>48</v>
      </c>
    </row>
    <row r="32" spans="1:22" x14ac:dyDescent="0.15">
      <c r="U32" s="86">
        <v>38</v>
      </c>
      <c r="V32" s="86">
        <v>49</v>
      </c>
    </row>
    <row r="33" spans="21:22" x14ac:dyDescent="0.15">
      <c r="U33" s="86">
        <v>39</v>
      </c>
      <c r="V33" s="86">
        <v>50</v>
      </c>
    </row>
  </sheetData>
  <sheetProtection sheet="1" objects="1" scenarios="1"/>
  <mergeCells count="31">
    <mergeCell ref="F19:G19"/>
    <mergeCell ref="F15:G15"/>
    <mergeCell ref="F16:G16"/>
    <mergeCell ref="J16:K16"/>
    <mergeCell ref="F14:G14"/>
    <mergeCell ref="J14:K14"/>
    <mergeCell ref="O16:P16"/>
    <mergeCell ref="F17:G17"/>
    <mergeCell ref="F18:G18"/>
    <mergeCell ref="J18:K18"/>
    <mergeCell ref="O18:P18"/>
    <mergeCell ref="O14:P14"/>
    <mergeCell ref="F7:G7"/>
    <mergeCell ref="C8:D8"/>
    <mergeCell ref="F8:G8"/>
    <mergeCell ref="F9:G9"/>
    <mergeCell ref="H9:I9"/>
    <mergeCell ref="B10:C10"/>
    <mergeCell ref="F10:G10"/>
    <mergeCell ref="F11:G11"/>
    <mergeCell ref="F12:G12"/>
    <mergeCell ref="J12:K12"/>
    <mergeCell ref="O12:P12"/>
    <mergeCell ref="F13:G13"/>
    <mergeCell ref="B12:D12"/>
    <mergeCell ref="F5:G5"/>
    <mergeCell ref="H5:I5"/>
    <mergeCell ref="O5:P5"/>
    <mergeCell ref="C6:D6"/>
    <mergeCell ref="F6:G6"/>
    <mergeCell ref="H6:I6"/>
  </mergeCells>
  <phoneticPr fontId="2"/>
  <dataValidations count="3">
    <dataValidation imeMode="off" allowBlank="1" showInputMessage="1" showErrorMessage="1" sqref="U7"/>
    <dataValidation imeMode="halfAlpha" allowBlank="1" showInputMessage="1" showErrorMessage="1" sqref="C2:C3 C6:D6 C8 M15:P15 O6:O10 M17:P17 M19:P19 J19:K19 J17:K17 J15:K15 J13:K13 M13:P13"/>
    <dataValidation imeMode="hiragana" allowBlank="1" showInputMessage="1" showErrorMessage="1" sqref="Q13:R13 Q17:R17 Q19:R19 Q15:R15 H5:I5 H7 H12:I19 L13 L15 L17 L19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51"/>
  <sheetViews>
    <sheetView zoomScaleNormal="100" workbookViewId="0">
      <selection activeCell="AF20" sqref="AF20"/>
    </sheetView>
  </sheetViews>
  <sheetFormatPr defaultRowHeight="13.5" outlineLevelCol="1" x14ac:dyDescent="0.15"/>
  <cols>
    <col min="1" max="1" width="9" style="132"/>
    <col min="2" max="2" width="14" style="150" customWidth="1"/>
    <col min="3" max="4" width="14.625" style="133" customWidth="1"/>
    <col min="5" max="6" width="22.5" style="133" customWidth="1"/>
    <col min="7" max="8" width="4.875" style="133" customWidth="1"/>
    <col min="9" max="9" width="12.625" style="133" customWidth="1"/>
    <col min="10" max="12" width="3.5" style="133" customWidth="1"/>
    <col min="13" max="13" width="4.875" style="133" hidden="1" customWidth="1" outlineLevel="1"/>
    <col min="14" max="14" width="3.375" style="133" hidden="1" customWidth="1" outlineLevel="1"/>
    <col min="15" max="18" width="4.875" style="133" hidden="1" customWidth="1" outlineLevel="1"/>
    <col min="19" max="19" width="7" style="133" hidden="1" customWidth="1" outlineLevel="1"/>
    <col min="20" max="20" width="2.25" style="133" customWidth="1" collapsed="1"/>
    <col min="21" max="21" width="4.875" style="133" customWidth="1"/>
    <col min="22" max="22" width="6.875" style="133" customWidth="1"/>
    <col min="23" max="23" width="8.125" style="133" customWidth="1"/>
    <col min="24" max="24" width="12.5" style="133" customWidth="1"/>
    <col min="25" max="28" width="9.375" style="133" customWidth="1"/>
    <col min="29" max="32" width="5.625" style="133" customWidth="1"/>
    <col min="33" max="33" width="5.5" style="133" customWidth="1"/>
    <col min="34" max="16384" width="9" style="132"/>
  </cols>
  <sheetData>
    <row r="1" spans="1:33" ht="15.75" customHeight="1" x14ac:dyDescent="0.15">
      <c r="B1" s="235">
        <f>メインシート!$C$6</f>
        <v>0</v>
      </c>
      <c r="C1" s="132"/>
      <c r="H1" s="100" t="s">
        <v>62</v>
      </c>
      <c r="I1" s="100" t="s">
        <v>29</v>
      </c>
      <c r="J1" s="100" t="s">
        <v>847</v>
      </c>
      <c r="K1" s="100" t="s">
        <v>878</v>
      </c>
      <c r="L1" s="100" t="s">
        <v>879</v>
      </c>
      <c r="U1" s="134" t="s">
        <v>863</v>
      </c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</row>
    <row r="2" spans="1:33" ht="15.75" customHeight="1" thickBot="1" x14ac:dyDescent="0.2">
      <c r="B2" s="236"/>
      <c r="C2" s="136" t="e">
        <f>IF($B$1="","",VLOOKUP($B$1,学校ﾏｽﾀｰ!$C$4:$AB$363,3,0))</f>
        <v>#N/A</v>
      </c>
      <c r="D2" s="135"/>
      <c r="E2" s="135"/>
      <c r="F2" s="137" t="s">
        <v>883</v>
      </c>
      <c r="G2" s="135"/>
      <c r="H2" s="138">
        <v>1</v>
      </c>
      <c r="I2" s="138" t="str">
        <f>IF(VLOOKUP(H2,名簿ﾏｽﾀｰ!$J$7:$K$56,2,0)="","",VLOOKUP(H2,名簿ﾏｽﾀｰ!$J$7:$K$56,2,0))</f>
        <v/>
      </c>
      <c r="J2" s="102" t="str">
        <f>IF(VLOOKUP(H2,名簿ﾏｽﾀｰ!$J$7:$Q$56,7,0)="","",VLOOKUP(H2,名簿ﾏｽﾀｰ!$J$7:$Q$56,7,0))</f>
        <v/>
      </c>
      <c r="K2" s="102" t="str">
        <f>IF(I2="","",IF(J2=1,COUNTIF(入力ﾌｫｰﾑ!$U$3:$U$10,$H2)+COUNTIF(入力ﾌｫｰﾑ!$U$20:$U$27,$H2),IF(J2=2,"")))</f>
        <v/>
      </c>
      <c r="L2" s="102" t="str">
        <f t="shared" ref="L2:L33" si="0">IF(I2="","",IF(J2=2,COUNTIF($U$13:$U$17,$H2)+COUNTIF($U$30:$U$37,$H2),IF(J2=1,"")))</f>
        <v/>
      </c>
      <c r="M2" s="139"/>
      <c r="N2" s="140" t="s">
        <v>1104</v>
      </c>
      <c r="O2" s="140" t="s">
        <v>1099</v>
      </c>
      <c r="P2" s="140" t="s">
        <v>1100</v>
      </c>
      <c r="Q2" s="140" t="s">
        <v>1101</v>
      </c>
      <c r="R2" s="140" t="s">
        <v>1102</v>
      </c>
      <c r="S2" s="140" t="s">
        <v>1103</v>
      </c>
      <c r="T2" s="141"/>
      <c r="U2" s="142" t="s">
        <v>884</v>
      </c>
      <c r="V2" s="143" t="s">
        <v>1</v>
      </c>
      <c r="W2" s="144" t="s">
        <v>851</v>
      </c>
      <c r="X2" s="143" t="s">
        <v>870</v>
      </c>
      <c r="Y2" s="143" t="s">
        <v>37</v>
      </c>
      <c r="Z2" s="143" t="s">
        <v>874</v>
      </c>
      <c r="AA2" s="143" t="s">
        <v>875</v>
      </c>
      <c r="AB2" s="143" t="s">
        <v>876</v>
      </c>
      <c r="AC2" s="143" t="s">
        <v>11</v>
      </c>
      <c r="AD2" s="143" t="s">
        <v>36</v>
      </c>
      <c r="AE2" s="143" t="s">
        <v>849</v>
      </c>
      <c r="AF2" s="143" t="s">
        <v>877</v>
      </c>
    </row>
    <row r="3" spans="1:33" ht="15.75" customHeight="1" x14ac:dyDescent="0.15">
      <c r="B3" s="145" t="s">
        <v>858</v>
      </c>
      <c r="C3" s="146" t="s">
        <v>29</v>
      </c>
      <c r="D3" s="146" t="s">
        <v>28</v>
      </c>
      <c r="E3" s="146" t="s">
        <v>860</v>
      </c>
      <c r="F3" s="237"/>
      <c r="G3" s="135"/>
      <c r="H3" s="138">
        <v>2</v>
      </c>
      <c r="I3" s="138" t="str">
        <f>IF(VLOOKUP(H3,名簿ﾏｽﾀｰ!$J$7:$K$56,2,0)="","",VLOOKUP(H3,名簿ﾏｽﾀｰ!$J$7:$K$56,2,0))</f>
        <v/>
      </c>
      <c r="J3" s="102" t="str">
        <f>IF(VLOOKUP(H3,名簿ﾏｽﾀｰ!$J$7:$Q$56,7,0)="","",VLOOKUP(H3,名簿ﾏｽﾀｰ!$J$7:$Q$56,7,0))</f>
        <v/>
      </c>
      <c r="K3" s="102" t="str">
        <f>IF(I3="","",IF(J3=1,COUNTIF(入力ﾌｫｰﾑ!$U$3:$U$10,$H3)+COUNTIF(入力ﾌｫｰﾑ!$U$20:$U$27,$H3),IF(J3=2,"")))</f>
        <v/>
      </c>
      <c r="L3" s="102" t="str">
        <f t="shared" si="0"/>
        <v/>
      </c>
      <c r="M3" s="135"/>
      <c r="N3" s="138">
        <v>1</v>
      </c>
      <c r="O3" s="147">
        <v>1</v>
      </c>
      <c r="P3" s="147">
        <f>メインシート!$C$8</f>
        <v>4</v>
      </c>
      <c r="Q3" s="147">
        <v>10</v>
      </c>
      <c r="R3" s="147">
        <f>$D$10</f>
        <v>0</v>
      </c>
      <c r="S3" s="147">
        <f>VALUE(CONCATENATE(O3,P3,Q3,R3))</f>
        <v>14100</v>
      </c>
      <c r="T3" s="135"/>
      <c r="U3" s="93"/>
      <c r="V3" s="143" t="s">
        <v>864</v>
      </c>
      <c r="W3" s="143" t="str">
        <f t="shared" ref="W3:W10" si="1">IF($U3="","",VALUE(CONCATENATE(S3,N3)))</f>
        <v/>
      </c>
      <c r="X3" s="143" t="str">
        <f>IF($U3="","",(VLOOKUP($U3,名簿ﾏｽﾀｰ!$B$7:$Q$56,10,0)))</f>
        <v/>
      </c>
      <c r="Y3" s="143" t="str">
        <f>IF($U3="","",(VLOOKUP($U3,名簿ﾏｽﾀｰ!$B$7:$Q$56,2,0)))</f>
        <v/>
      </c>
      <c r="Z3" s="143" t="str">
        <f>IF($U3="","",(VLOOKUP($U3,名簿ﾏｽﾀｰ!$B$7:$Q$56,3,0)))</f>
        <v/>
      </c>
      <c r="AA3" s="143" t="str">
        <f>IF($U3="","",(VLOOKUP($U3,名簿ﾏｽﾀｰ!$B$7:$Q$56,4,0)))</f>
        <v/>
      </c>
      <c r="AB3" s="143" t="str">
        <f>IF($U3="","",(VLOOKUP($U3,名簿ﾏｽﾀｰ!$B$7:$Q$56,5,0)))</f>
        <v/>
      </c>
      <c r="AC3" s="143" t="str">
        <f>IF($U3="","",(VLOOKUP($U3,名簿ﾏｽﾀｰ!$B$7:$Q$56,12,0)))</f>
        <v/>
      </c>
      <c r="AD3" s="143" t="str">
        <f>IF($U3="","",(VLOOKUP($U3,名簿ﾏｽﾀｰ!$B$7:$Q$56,13,0)))</f>
        <v/>
      </c>
      <c r="AE3" s="143" t="str">
        <f>IF($U3="","",(VLOOKUP($U3,名簿ﾏｽﾀｰ!$B$7:$Q$56,14,0)))</f>
        <v/>
      </c>
      <c r="AF3" s="159"/>
    </row>
    <row r="4" spans="1:33" ht="15.75" customHeight="1" x14ac:dyDescent="0.15">
      <c r="B4" s="148">
        <v>1</v>
      </c>
      <c r="C4" s="149" t="str">
        <f>IF(VLOOKUP($B4,メインシート!$E$13:$R$19,4,0)="","",VLOOKUP($B4,メインシート!$E$13:$R$19,4,0))</f>
        <v/>
      </c>
      <c r="D4" s="149" t="str">
        <f>IF(VLOOKUP($B4,メインシート!$E$13:$R$19,7,0)="","",VLOOKUP($B4,メインシート!$E$13:$R$19,7,0))</f>
        <v/>
      </c>
      <c r="E4" s="149" t="str">
        <f>IF(VLOOKUP($B4,メインシート!$E$13:$R$19,5,0)="","",VLOOKUP($B4,メインシート!$E$13:$R$19,5,0))</f>
        <v/>
      </c>
      <c r="F4" s="237"/>
      <c r="H4" s="138">
        <v>3</v>
      </c>
      <c r="I4" s="138" t="str">
        <f>IF(VLOOKUP(H4,名簿ﾏｽﾀｰ!$J$7:$K$56,2,0)="","",VLOOKUP(H4,名簿ﾏｽﾀｰ!$J$7:$K$56,2,0))</f>
        <v/>
      </c>
      <c r="J4" s="102" t="str">
        <f>IF(VLOOKUP(H4,名簿ﾏｽﾀｰ!$J$7:$Q$56,7,0)="","",VLOOKUP(H4,名簿ﾏｽﾀｰ!$J$7:$Q$56,7,0))</f>
        <v/>
      </c>
      <c r="K4" s="102" t="str">
        <f>IF(I4="","",IF(J4=1,COUNTIF(入力ﾌｫｰﾑ!$U$3:$U$10,$H4)+COUNTIF(入力ﾌｫｰﾑ!$U$20:$U$27,$H4),IF(J4=2,"")))</f>
        <v/>
      </c>
      <c r="L4" s="102" t="str">
        <f t="shared" si="0"/>
        <v/>
      </c>
      <c r="N4" s="138">
        <v>2</v>
      </c>
      <c r="O4" s="138">
        <f t="shared" ref="O4:S10" si="2">O3</f>
        <v>1</v>
      </c>
      <c r="P4" s="138">
        <f t="shared" si="2"/>
        <v>4</v>
      </c>
      <c r="Q4" s="138">
        <f t="shared" si="2"/>
        <v>10</v>
      </c>
      <c r="R4" s="138">
        <f t="shared" si="2"/>
        <v>0</v>
      </c>
      <c r="S4" s="138">
        <f t="shared" si="2"/>
        <v>14100</v>
      </c>
      <c r="U4" s="93"/>
      <c r="V4" s="143" t="s">
        <v>865</v>
      </c>
      <c r="W4" s="143" t="str">
        <f t="shared" si="1"/>
        <v/>
      </c>
      <c r="X4" s="143" t="str">
        <f>IF($U4="","",(VLOOKUP($U4,名簿ﾏｽﾀｰ!$B$7:$Q$56,10,0)))</f>
        <v/>
      </c>
      <c r="Y4" s="143" t="str">
        <f>IF($U4="","",(VLOOKUP($U4,名簿ﾏｽﾀｰ!$B$7:$Q$56,2,0)))</f>
        <v/>
      </c>
      <c r="Z4" s="143" t="str">
        <f>IF($U4="","",(VLOOKUP($U4,名簿ﾏｽﾀｰ!$B$7:$Q$56,3,0)))</f>
        <v/>
      </c>
      <c r="AA4" s="143" t="str">
        <f>IF($U4="","",(VLOOKUP($U4,名簿ﾏｽﾀｰ!$B$7:$Q$56,4,0)))</f>
        <v/>
      </c>
      <c r="AB4" s="143" t="str">
        <f>IF($U4="","",(VLOOKUP($U4,名簿ﾏｽﾀｰ!$B$7:$Q$56,5,0)))</f>
        <v/>
      </c>
      <c r="AC4" s="143" t="str">
        <f>IF($U4="","",(VLOOKUP($U4,名簿ﾏｽﾀｰ!$B$7:$Q$56,12,0)))</f>
        <v/>
      </c>
      <c r="AD4" s="143" t="str">
        <f>IF($U4="","",(VLOOKUP($U4,名簿ﾏｽﾀｰ!$B$7:$Q$56,13,0)))</f>
        <v/>
      </c>
      <c r="AE4" s="143" t="str">
        <f>IF($U4="","",(VLOOKUP($U4,名簿ﾏｽﾀｰ!$B$7:$Q$56,14,0)))</f>
        <v/>
      </c>
      <c r="AF4" s="159"/>
    </row>
    <row r="5" spans="1:33" ht="15.75" customHeight="1" x14ac:dyDescent="0.15">
      <c r="B5" s="148">
        <v>2</v>
      </c>
      <c r="C5" s="149" t="str">
        <f>IF(VLOOKUP($B5,メインシート!$E$13:$R$19,4,0)="","",VLOOKUP($B5,メインシート!$E$13:$R$19,4,0))</f>
        <v/>
      </c>
      <c r="D5" s="149" t="str">
        <f>IF(VLOOKUP($B5,メインシート!$E$13:$R$19,7,0)="","",VLOOKUP($B5,メインシート!$E$13:$R$19,7,0))</f>
        <v/>
      </c>
      <c r="E5" s="149" t="str">
        <f>IF(VLOOKUP($B5,メインシート!$E$13:$R$19,5,0)="","",VLOOKUP($B5,メインシート!$E$13:$R$19,5,0))</f>
        <v/>
      </c>
      <c r="F5" s="137" t="s">
        <v>1131</v>
      </c>
      <c r="H5" s="138">
        <v>4</v>
      </c>
      <c r="I5" s="138" t="str">
        <f>IF(VLOOKUP(H5,名簿ﾏｽﾀｰ!$J$7:$K$56,2,0)="","",VLOOKUP(H5,名簿ﾏｽﾀｰ!$J$7:$K$56,2,0))</f>
        <v/>
      </c>
      <c r="J5" s="102" t="str">
        <f>IF(VLOOKUP(H5,名簿ﾏｽﾀｰ!$J$7:$Q$56,7,0)="","",VLOOKUP(H5,名簿ﾏｽﾀｰ!$J$7:$Q$56,7,0))</f>
        <v/>
      </c>
      <c r="K5" s="102" t="str">
        <f>IF(I5="","",IF(J5=1,COUNTIF(入力ﾌｫｰﾑ!$U$3:$U$10,$H5)+COUNTIF(入力ﾌｫｰﾑ!$U$20:$U$27,$H5),IF(J5=2,"")))</f>
        <v/>
      </c>
      <c r="L5" s="102" t="str">
        <f t="shared" si="0"/>
        <v/>
      </c>
      <c r="N5" s="138">
        <v>3</v>
      </c>
      <c r="O5" s="138">
        <f t="shared" si="2"/>
        <v>1</v>
      </c>
      <c r="P5" s="138">
        <f t="shared" si="2"/>
        <v>4</v>
      </c>
      <c r="Q5" s="138">
        <f t="shared" si="2"/>
        <v>10</v>
      </c>
      <c r="R5" s="138">
        <f t="shared" si="2"/>
        <v>0</v>
      </c>
      <c r="S5" s="138">
        <f t="shared" si="2"/>
        <v>14100</v>
      </c>
      <c r="U5" s="93"/>
      <c r="V5" s="143" t="s">
        <v>866</v>
      </c>
      <c r="W5" s="143" t="str">
        <f t="shared" si="1"/>
        <v/>
      </c>
      <c r="X5" s="143" t="str">
        <f>IF($U5="","",(VLOOKUP($U5,名簿ﾏｽﾀｰ!$B$7:$Q$56,10,0)))</f>
        <v/>
      </c>
      <c r="Y5" s="143" t="str">
        <f>IF($U5="","",(VLOOKUP($U5,名簿ﾏｽﾀｰ!$B$7:$Q$56,2,0)))</f>
        <v/>
      </c>
      <c r="Z5" s="143" t="str">
        <f>IF($U5="","",(VLOOKUP($U5,名簿ﾏｽﾀｰ!$B$7:$Q$56,3,0)))</f>
        <v/>
      </c>
      <c r="AA5" s="143" t="str">
        <f>IF($U5="","",(VLOOKUP($U5,名簿ﾏｽﾀｰ!$B$7:$Q$56,4,0)))</f>
        <v/>
      </c>
      <c r="AB5" s="143" t="str">
        <f>IF($U5="","",(VLOOKUP($U5,名簿ﾏｽﾀｰ!$B$7:$Q$56,5,0)))</f>
        <v/>
      </c>
      <c r="AC5" s="143" t="str">
        <f>IF($U5="","",(VLOOKUP($U5,名簿ﾏｽﾀｰ!$B$7:$Q$56,12,0)))</f>
        <v/>
      </c>
      <c r="AD5" s="143" t="str">
        <f>IF($U5="","",(VLOOKUP($U5,名簿ﾏｽﾀｰ!$B$7:$Q$56,13,0)))</f>
        <v/>
      </c>
      <c r="AE5" s="143" t="str">
        <f>IF($U5="","",(VLOOKUP($U5,名簿ﾏｽﾀｰ!$B$7:$Q$56,14,0)))</f>
        <v/>
      </c>
      <c r="AF5" s="159"/>
    </row>
    <row r="6" spans="1:33" ht="15.75" customHeight="1" x14ac:dyDescent="0.15">
      <c r="B6" s="148">
        <v>3</v>
      </c>
      <c r="C6" s="149" t="str">
        <f>IF(VLOOKUP($B6,メインシート!$E$13:$R$19,4,0)="","",VLOOKUP($B6,メインシート!$E$13:$R$19,4,0))</f>
        <v/>
      </c>
      <c r="D6" s="149" t="str">
        <f>IF(VLOOKUP($B6,メインシート!$E$13:$R$19,7,0)="","",VLOOKUP($B6,メインシート!$E$13:$R$19,7,0))</f>
        <v/>
      </c>
      <c r="E6" s="149" t="str">
        <f>IF(VLOOKUP($B6,メインシート!$E$13:$R$19,5,0)="","",VLOOKUP($B6,メインシート!$E$13:$R$19,5,0))</f>
        <v/>
      </c>
      <c r="F6" s="237"/>
      <c r="H6" s="138">
        <v>5</v>
      </c>
      <c r="I6" s="138" t="str">
        <f>IF(VLOOKUP(H6,名簿ﾏｽﾀｰ!$J$7:$K$56,2,0)="","",VLOOKUP(H6,名簿ﾏｽﾀｰ!$J$7:$K$56,2,0))</f>
        <v/>
      </c>
      <c r="J6" s="102" t="str">
        <f>IF(VLOOKUP(H6,名簿ﾏｽﾀｰ!$J$7:$Q$56,7,0)="","",VLOOKUP(H6,名簿ﾏｽﾀｰ!$J$7:$Q$56,7,0))</f>
        <v/>
      </c>
      <c r="K6" s="102" t="str">
        <f>IF(I6="","",IF(J6=1,COUNTIF(入力ﾌｫｰﾑ!$U$3:$U$10,$H6)+COUNTIF(入力ﾌｫｰﾑ!$U$20:$U$27,$H6),IF(J6=2,"")))</f>
        <v/>
      </c>
      <c r="L6" s="102" t="str">
        <f t="shared" si="0"/>
        <v/>
      </c>
      <c r="N6" s="138">
        <v>4</v>
      </c>
      <c r="O6" s="138">
        <f t="shared" si="2"/>
        <v>1</v>
      </c>
      <c r="P6" s="138">
        <f t="shared" si="2"/>
        <v>4</v>
      </c>
      <c r="Q6" s="138">
        <f t="shared" si="2"/>
        <v>10</v>
      </c>
      <c r="R6" s="138">
        <f t="shared" si="2"/>
        <v>0</v>
      </c>
      <c r="S6" s="138">
        <f t="shared" si="2"/>
        <v>14100</v>
      </c>
      <c r="U6" s="93"/>
      <c r="V6" s="143" t="s">
        <v>867</v>
      </c>
      <c r="W6" s="143" t="str">
        <f t="shared" si="1"/>
        <v/>
      </c>
      <c r="X6" s="143" t="str">
        <f>IF($U6="","",(VLOOKUP($U6,名簿ﾏｽﾀｰ!$B$7:$Q$56,10,0)))</f>
        <v/>
      </c>
      <c r="Y6" s="143" t="str">
        <f>IF($U6="","",(VLOOKUP($U6,名簿ﾏｽﾀｰ!$B$7:$Q$56,2,0)))</f>
        <v/>
      </c>
      <c r="Z6" s="143" t="str">
        <f>IF($U6="","",(VLOOKUP($U6,名簿ﾏｽﾀｰ!$B$7:$Q$56,3,0)))</f>
        <v/>
      </c>
      <c r="AA6" s="143" t="str">
        <f>IF($U6="","",(VLOOKUP($U6,名簿ﾏｽﾀｰ!$B$7:$Q$56,4,0)))</f>
        <v/>
      </c>
      <c r="AB6" s="143" t="str">
        <f>IF($U6="","",(VLOOKUP($U6,名簿ﾏｽﾀｰ!$B$7:$Q$56,5,0)))</f>
        <v/>
      </c>
      <c r="AC6" s="143" t="str">
        <f>IF($U6="","",(VLOOKUP($U6,名簿ﾏｽﾀｰ!$B$7:$Q$56,12,0)))</f>
        <v/>
      </c>
      <c r="AD6" s="143" t="str">
        <f>IF($U6="","",(VLOOKUP($U6,名簿ﾏｽﾀｰ!$B$7:$Q$56,13,0)))</f>
        <v/>
      </c>
      <c r="AE6" s="143" t="str">
        <f>IF($U6="","",(VLOOKUP($U6,名簿ﾏｽﾀｰ!$B$7:$Q$56,14,0)))</f>
        <v/>
      </c>
      <c r="AF6" s="159"/>
    </row>
    <row r="7" spans="1:33" ht="15.75" customHeight="1" x14ac:dyDescent="0.15">
      <c r="B7" s="148">
        <v>4</v>
      </c>
      <c r="C7" s="149" t="str">
        <f>IF(VLOOKUP($B7,メインシート!$E$13:$R$19,4,0)="","",VLOOKUP($B7,メインシート!$E$13:$R$19,4,0))</f>
        <v/>
      </c>
      <c r="D7" s="149" t="str">
        <f>IF(VLOOKUP($B7,メインシート!$E$13:$R$19,7,0)="","",VLOOKUP($B7,メインシート!$E$13:$R$19,7,0))</f>
        <v/>
      </c>
      <c r="E7" s="149" t="str">
        <f>IF(VLOOKUP($B7,メインシート!$E$13:$R$19,5,0)="","",VLOOKUP($B7,メインシート!$E$13:$R$19,5,0))</f>
        <v/>
      </c>
      <c r="F7" s="237"/>
      <c r="H7" s="138">
        <v>6</v>
      </c>
      <c r="I7" s="138" t="str">
        <f>IF(VLOOKUP(H7,名簿ﾏｽﾀｰ!$J$7:$K$56,2,0)="","",VLOOKUP(H7,名簿ﾏｽﾀｰ!$J$7:$K$56,2,0))</f>
        <v/>
      </c>
      <c r="J7" s="102" t="str">
        <f>IF(VLOOKUP(H7,名簿ﾏｽﾀｰ!$J$7:$Q$56,7,0)="","",VLOOKUP(H7,名簿ﾏｽﾀｰ!$J$7:$Q$56,7,0))</f>
        <v/>
      </c>
      <c r="K7" s="102" t="str">
        <f>IF(I7="","",IF(J7=1,COUNTIF(入力ﾌｫｰﾑ!$U$3:$U$10,$H7)+COUNTIF(入力ﾌｫｰﾑ!$U$20:$U$27,$H7),IF(J7=2,"")))</f>
        <v/>
      </c>
      <c r="L7" s="102" t="str">
        <f t="shared" si="0"/>
        <v/>
      </c>
      <c r="N7" s="138">
        <v>5</v>
      </c>
      <c r="O7" s="138">
        <f t="shared" si="2"/>
        <v>1</v>
      </c>
      <c r="P7" s="138">
        <f t="shared" si="2"/>
        <v>4</v>
      </c>
      <c r="Q7" s="138">
        <f t="shared" si="2"/>
        <v>10</v>
      </c>
      <c r="R7" s="138">
        <f t="shared" si="2"/>
        <v>0</v>
      </c>
      <c r="S7" s="138">
        <f t="shared" si="2"/>
        <v>14100</v>
      </c>
      <c r="U7" s="93"/>
      <c r="V7" s="143" t="s">
        <v>857</v>
      </c>
      <c r="W7" s="143" t="str">
        <f t="shared" si="1"/>
        <v/>
      </c>
      <c r="X7" s="143" t="str">
        <f>IF($U7="","",(VLOOKUP($U7,名簿ﾏｽﾀｰ!$B$7:$Q$56,10,0)))</f>
        <v/>
      </c>
      <c r="Y7" s="143" t="str">
        <f>IF($U7="","",(VLOOKUP($U7,名簿ﾏｽﾀｰ!$B$7:$Q$56,2,0)))</f>
        <v/>
      </c>
      <c r="Z7" s="143" t="str">
        <f>IF($U7="","",(VLOOKUP($U7,名簿ﾏｽﾀｰ!$B$7:$Q$56,3,0)))</f>
        <v/>
      </c>
      <c r="AA7" s="143" t="str">
        <f>IF($U7="","",(VLOOKUP($U7,名簿ﾏｽﾀｰ!$B$7:$Q$56,4,0)))</f>
        <v/>
      </c>
      <c r="AB7" s="143" t="str">
        <f>IF($U7="","",(VLOOKUP($U7,名簿ﾏｽﾀｰ!$B$7:$Q$56,5,0)))</f>
        <v/>
      </c>
      <c r="AC7" s="143" t="str">
        <f>IF($U7="","",(VLOOKUP($U7,名簿ﾏｽﾀｰ!$B$7:$Q$56,12,0)))</f>
        <v/>
      </c>
      <c r="AD7" s="143" t="str">
        <f>IF($U7="","",(VLOOKUP($U7,名簿ﾏｽﾀｰ!$B$7:$Q$56,13,0)))</f>
        <v/>
      </c>
      <c r="AE7" s="143" t="str">
        <f>IF($U7="","",(VLOOKUP($U7,名簿ﾏｽﾀｰ!$B$7:$Q$56,14,0)))</f>
        <v/>
      </c>
      <c r="AF7" s="159"/>
    </row>
    <row r="8" spans="1:33" ht="15.75" customHeight="1" x14ac:dyDescent="0.15">
      <c r="H8" s="138">
        <v>7</v>
      </c>
      <c r="I8" s="138" t="str">
        <f>IF(VLOOKUP(H8,名簿ﾏｽﾀｰ!$J$7:$K$56,2,0)="","",VLOOKUP(H8,名簿ﾏｽﾀｰ!$J$7:$K$56,2,0))</f>
        <v/>
      </c>
      <c r="J8" s="102" t="str">
        <f>IF(VLOOKUP(H8,名簿ﾏｽﾀｰ!$J$7:$Q$56,7,0)="","",VLOOKUP(H8,名簿ﾏｽﾀｰ!$J$7:$Q$56,7,0))</f>
        <v/>
      </c>
      <c r="K8" s="102" t="str">
        <f>IF(I8="","",IF(J8=1,COUNTIF(入力ﾌｫｰﾑ!$U$3:$U$10,$H8)+COUNTIF(入力ﾌｫｰﾑ!$U$20:$U$27,$H8),IF(J8=2,"")))</f>
        <v/>
      </c>
      <c r="L8" s="102" t="str">
        <f t="shared" si="0"/>
        <v/>
      </c>
      <c r="N8" s="138">
        <v>6</v>
      </c>
      <c r="O8" s="138">
        <f t="shared" si="2"/>
        <v>1</v>
      </c>
      <c r="P8" s="138">
        <f t="shared" si="2"/>
        <v>4</v>
      </c>
      <c r="Q8" s="138">
        <f t="shared" si="2"/>
        <v>10</v>
      </c>
      <c r="R8" s="138">
        <f t="shared" si="2"/>
        <v>0</v>
      </c>
      <c r="S8" s="138">
        <f t="shared" si="2"/>
        <v>14100</v>
      </c>
      <c r="U8" s="93"/>
      <c r="V8" s="143" t="s">
        <v>871</v>
      </c>
      <c r="W8" s="143" t="str">
        <f t="shared" si="1"/>
        <v/>
      </c>
      <c r="X8" s="143" t="str">
        <f>IF($U8="","",(VLOOKUP($U8,名簿ﾏｽﾀｰ!$B$7:$Q$56,10,0)))</f>
        <v/>
      </c>
      <c r="Y8" s="143" t="str">
        <f>IF($U8="","",(VLOOKUP($U8,名簿ﾏｽﾀｰ!$B$7:$Q$56,2,0)))</f>
        <v/>
      </c>
      <c r="Z8" s="143" t="str">
        <f>IF($U8="","",(VLOOKUP($U8,名簿ﾏｽﾀｰ!$B$7:$Q$56,3,0)))</f>
        <v/>
      </c>
      <c r="AA8" s="143" t="str">
        <f>IF($U8="","",(VLOOKUP($U8,名簿ﾏｽﾀｰ!$B$7:$Q$56,4,0)))</f>
        <v/>
      </c>
      <c r="AB8" s="143" t="str">
        <f>IF($U8="","",(VLOOKUP($U8,名簿ﾏｽﾀｰ!$B$7:$Q$56,5,0)))</f>
        <v/>
      </c>
      <c r="AC8" s="143" t="str">
        <f>IF($U8="","",(VLOOKUP($U8,名簿ﾏｽﾀｰ!$B$7:$Q$56,12,0)))</f>
        <v/>
      </c>
      <c r="AD8" s="143" t="str">
        <f>IF($U8="","",(VLOOKUP($U8,名簿ﾏｽﾀｰ!$B$7:$Q$56,13,0)))</f>
        <v/>
      </c>
      <c r="AE8" s="143" t="str">
        <f>IF($U8="","",(VLOOKUP($U8,名簿ﾏｽﾀｰ!$B$7:$Q$56,14,0)))</f>
        <v/>
      </c>
      <c r="AF8" s="159"/>
    </row>
    <row r="9" spans="1:33" ht="15.75" customHeight="1" x14ac:dyDescent="0.15">
      <c r="B9" s="232" t="s">
        <v>52</v>
      </c>
      <c r="C9" s="151" t="s">
        <v>859</v>
      </c>
      <c r="D9" s="152" t="s">
        <v>850</v>
      </c>
      <c r="E9" s="234" t="s">
        <v>861</v>
      </c>
      <c r="F9" s="234" t="s">
        <v>862</v>
      </c>
      <c r="H9" s="138">
        <v>8</v>
      </c>
      <c r="I9" s="138" t="str">
        <f>IF(VLOOKUP(H9,名簿ﾏｽﾀｰ!$J$7:$K$56,2,0)="","",VLOOKUP(H9,名簿ﾏｽﾀｰ!$J$7:$K$56,2,0))</f>
        <v/>
      </c>
      <c r="J9" s="102" t="str">
        <f>IF(VLOOKUP(H9,名簿ﾏｽﾀｰ!$J$7:$Q$56,7,0)="","",VLOOKUP(H9,名簿ﾏｽﾀｰ!$J$7:$Q$56,7,0))</f>
        <v/>
      </c>
      <c r="K9" s="102" t="str">
        <f>IF(I9="","",IF(J9=1,COUNTIF(入力ﾌｫｰﾑ!$U$3:$U$10,$H9)+COUNTIF(入力ﾌｫｰﾑ!$U$20:$U$27,$H9),IF(J9=2,"")))</f>
        <v/>
      </c>
      <c r="L9" s="102" t="str">
        <f t="shared" si="0"/>
        <v/>
      </c>
      <c r="N9" s="138">
        <v>7</v>
      </c>
      <c r="O9" s="138">
        <f t="shared" si="2"/>
        <v>1</v>
      </c>
      <c r="P9" s="138">
        <f t="shared" si="2"/>
        <v>4</v>
      </c>
      <c r="Q9" s="138">
        <f t="shared" si="2"/>
        <v>10</v>
      </c>
      <c r="R9" s="138">
        <f t="shared" si="2"/>
        <v>0</v>
      </c>
      <c r="S9" s="138">
        <f t="shared" si="2"/>
        <v>14100</v>
      </c>
      <c r="U9" s="93"/>
      <c r="V9" s="143" t="s">
        <v>872</v>
      </c>
      <c r="W9" s="143" t="str">
        <f t="shared" si="1"/>
        <v/>
      </c>
      <c r="X9" s="143" t="str">
        <f>IF($U9="","",(VLOOKUP($U9,名簿ﾏｽﾀｰ!$B$7:$Q$56,10,0)))</f>
        <v/>
      </c>
      <c r="Y9" s="143" t="str">
        <f>IF($U9="","",(VLOOKUP($U9,名簿ﾏｽﾀｰ!$B$7:$Q$56,2,0)))</f>
        <v/>
      </c>
      <c r="Z9" s="143" t="str">
        <f>IF($U9="","",(VLOOKUP($U9,名簿ﾏｽﾀｰ!$B$7:$Q$56,3,0)))</f>
        <v/>
      </c>
      <c r="AA9" s="143" t="str">
        <f>IF($U9="","",(VLOOKUP($U9,名簿ﾏｽﾀｰ!$B$7:$Q$56,4,0)))</f>
        <v/>
      </c>
      <c r="AB9" s="143" t="str">
        <f>IF($U9="","",(VLOOKUP($U9,名簿ﾏｽﾀｰ!$B$7:$Q$56,5,0)))</f>
        <v/>
      </c>
      <c r="AC9" s="143" t="str">
        <f>IF($U9="","",(VLOOKUP($U9,名簿ﾏｽﾀｰ!$B$7:$Q$56,12,0)))</f>
        <v/>
      </c>
      <c r="AD9" s="143" t="str">
        <f>IF($U9="","",(VLOOKUP($U9,名簿ﾏｽﾀｰ!$B$7:$Q$56,13,0)))</f>
        <v/>
      </c>
      <c r="AE9" s="143" t="str">
        <f>IF($U9="","",(VLOOKUP($U9,名簿ﾏｽﾀｰ!$B$7:$Q$56,14,0)))</f>
        <v/>
      </c>
      <c r="AF9" s="159"/>
    </row>
    <row r="10" spans="1:33" ht="15.75" customHeight="1" x14ac:dyDescent="0.15">
      <c r="B10" s="233"/>
      <c r="C10" s="94"/>
      <c r="D10" s="95"/>
      <c r="E10" s="234"/>
      <c r="F10" s="234"/>
      <c r="H10" s="138">
        <v>9</v>
      </c>
      <c r="I10" s="138" t="str">
        <f>IF(VLOOKUP(H10,名簿ﾏｽﾀｰ!$J$7:$K$56,2,0)="","",VLOOKUP(H10,名簿ﾏｽﾀｰ!$J$7:$K$56,2,0))</f>
        <v/>
      </c>
      <c r="J10" s="102" t="str">
        <f>IF(VLOOKUP(H10,名簿ﾏｽﾀｰ!$J$7:$Q$56,7,0)="","",VLOOKUP(H10,名簿ﾏｽﾀｰ!$J$7:$Q$56,7,0))</f>
        <v/>
      </c>
      <c r="K10" s="102" t="str">
        <f>IF(I10="","",IF(J10=1,COUNTIF(入力ﾌｫｰﾑ!$U$3:$U$10,$H10)+COUNTIF(入力ﾌｫｰﾑ!$U$20:$U$27,$H10),IF(J10=2,"")))</f>
        <v/>
      </c>
      <c r="L10" s="102" t="str">
        <f t="shared" si="0"/>
        <v/>
      </c>
      <c r="N10" s="138">
        <v>8</v>
      </c>
      <c r="O10" s="138">
        <f t="shared" si="2"/>
        <v>1</v>
      </c>
      <c r="P10" s="138">
        <f t="shared" si="2"/>
        <v>4</v>
      </c>
      <c r="Q10" s="138">
        <f t="shared" si="2"/>
        <v>10</v>
      </c>
      <c r="R10" s="138">
        <f t="shared" si="2"/>
        <v>0</v>
      </c>
      <c r="S10" s="138">
        <f t="shared" si="2"/>
        <v>14100</v>
      </c>
      <c r="U10" s="93"/>
      <c r="V10" s="143" t="s">
        <v>873</v>
      </c>
      <c r="W10" s="143" t="str">
        <f t="shared" si="1"/>
        <v/>
      </c>
      <c r="X10" s="143" t="str">
        <f>IF($U10="","",(VLOOKUP($U10,名簿ﾏｽﾀｰ!$B$7:$Q$56,10,0)))</f>
        <v/>
      </c>
      <c r="Y10" s="143" t="str">
        <f>IF($U10="","",(VLOOKUP($U10,名簿ﾏｽﾀｰ!$B$7:$Q$56,2,0)))</f>
        <v/>
      </c>
      <c r="Z10" s="143" t="str">
        <f>IF($U10="","",(VLOOKUP($U10,名簿ﾏｽﾀｰ!$B$7:$Q$56,3,0)))</f>
        <v/>
      </c>
      <c r="AA10" s="143" t="str">
        <f>IF($U10="","",(VLOOKUP($U10,名簿ﾏｽﾀｰ!$B$7:$Q$56,4,0)))</f>
        <v/>
      </c>
      <c r="AB10" s="143" t="str">
        <f>IF($U10="","",(VLOOKUP($U10,名簿ﾏｽﾀｰ!$B$7:$Q$56,5,0)))</f>
        <v/>
      </c>
      <c r="AC10" s="143" t="str">
        <f>IF($U10="","",(VLOOKUP($U10,名簿ﾏｽﾀｰ!$B$7:$Q$56,12,0)))</f>
        <v/>
      </c>
      <c r="AD10" s="143" t="str">
        <f>IF($U10="","",(VLOOKUP($U10,名簿ﾏｽﾀｰ!$B$7:$Q$56,13,0)))</f>
        <v/>
      </c>
      <c r="AE10" s="143" t="str">
        <f>IF($U10="","",(VLOOKUP($U10,名簿ﾏｽﾀｰ!$B$7:$Q$56,14,0)))</f>
        <v/>
      </c>
      <c r="AF10" s="159"/>
    </row>
    <row r="11" spans="1:33" ht="15.75" customHeight="1" x14ac:dyDescent="0.15">
      <c r="A11" s="132">
        <f>VALUE(CONCATENATE($S$3,1))</f>
        <v>141001</v>
      </c>
      <c r="B11" s="153" t="s">
        <v>56</v>
      </c>
      <c r="C11" s="96"/>
      <c r="D11" s="154" t="str">
        <f>IF(C11="","",VLOOKUP($C11,$B$4:$E$7,2,0))</f>
        <v/>
      </c>
      <c r="E11" s="160" t="str">
        <f>IF($C11="","",IF(VLOOKUP($C11,メインシート!$E$13:$R$19,9,0)="","",VLOOKUP($C11,メインシート!$E$13:$R$19,9,0)))</f>
        <v/>
      </c>
      <c r="F11" s="160" t="str">
        <f>IF($C11="","",IF(VLOOKUP($C11,メインシート!$E$13:$R$19,10,0)="","",VLOOKUP($C11,メインシート!$E$13:$R$19,10,0)))</f>
        <v/>
      </c>
      <c r="H11" s="138">
        <v>10</v>
      </c>
      <c r="I11" s="138" t="str">
        <f>IF(VLOOKUP(H11,名簿ﾏｽﾀｰ!$J$7:$K$56,2,0)="","",VLOOKUP(H11,名簿ﾏｽﾀｰ!$J$7:$K$56,2,0))</f>
        <v/>
      </c>
      <c r="J11" s="102" t="str">
        <f>IF(VLOOKUP(H11,名簿ﾏｽﾀｰ!$J$7:$Q$56,7,0)="","",VLOOKUP(H11,名簿ﾏｽﾀｰ!$J$7:$Q$56,7,0))</f>
        <v/>
      </c>
      <c r="K11" s="102" t="str">
        <f>IF(I11="","",IF(J11=1,COUNTIF(入力ﾌｫｰﾑ!$U$3:$U$10,$H11)+COUNTIF(入力ﾌｫｰﾑ!$U$20:$U$27,$H11),IF(J11=2,"")))</f>
        <v/>
      </c>
      <c r="L11" s="102" t="str">
        <f t="shared" si="0"/>
        <v/>
      </c>
      <c r="U11" s="134" t="s">
        <v>868</v>
      </c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</row>
    <row r="12" spans="1:33" ht="15.75" customHeight="1" x14ac:dyDescent="0.15">
      <c r="A12" s="132">
        <f>VALUE(CONCATENATE($S$3,2))</f>
        <v>141002</v>
      </c>
      <c r="B12" s="153" t="s">
        <v>57</v>
      </c>
      <c r="C12" s="96"/>
      <c r="D12" s="154" t="str">
        <f>IF(C12="","",VLOOKUP($C12,$B$4:$E$7,2,0))</f>
        <v/>
      </c>
      <c r="H12" s="138">
        <v>11</v>
      </c>
      <c r="I12" s="138" t="str">
        <f>IF(VLOOKUP(H12,名簿ﾏｽﾀｰ!$J$7:$K$56,2,0)="","",VLOOKUP(H12,名簿ﾏｽﾀｰ!$J$7:$K$56,2,0))</f>
        <v/>
      </c>
      <c r="J12" s="102" t="str">
        <f>IF(VLOOKUP(H12,名簿ﾏｽﾀｰ!$J$7:$Q$56,7,0)="","",VLOOKUP(H12,名簿ﾏｽﾀｰ!$J$7:$Q$56,7,0))</f>
        <v/>
      </c>
      <c r="K12" s="102" t="str">
        <f>IF(I12="","",IF(J12=1,COUNTIF(入力ﾌｫｰﾑ!$U$3:$U$10,$H12)+COUNTIF(入力ﾌｫｰﾑ!$U$20:$U$27,$H12),IF(J12=2,"")))</f>
        <v/>
      </c>
      <c r="L12" s="102" t="str">
        <f t="shared" si="0"/>
        <v/>
      </c>
      <c r="N12" s="140" t="s">
        <v>1104</v>
      </c>
      <c r="O12" s="140" t="s">
        <v>1099</v>
      </c>
      <c r="P12" s="140" t="s">
        <v>1100</v>
      </c>
      <c r="Q12" s="140" t="s">
        <v>1101</v>
      </c>
      <c r="R12" s="140" t="s">
        <v>1102</v>
      </c>
      <c r="S12" s="140" t="s">
        <v>1103</v>
      </c>
      <c r="U12" s="142" t="s">
        <v>884</v>
      </c>
      <c r="V12" s="143" t="s">
        <v>1</v>
      </c>
      <c r="W12" s="144" t="s">
        <v>851</v>
      </c>
      <c r="X12" s="143" t="s">
        <v>870</v>
      </c>
      <c r="Y12" s="143" t="s">
        <v>37</v>
      </c>
      <c r="Z12" s="143" t="s">
        <v>874</v>
      </c>
      <c r="AA12" s="143" t="s">
        <v>875</v>
      </c>
      <c r="AB12" s="143" t="s">
        <v>876</v>
      </c>
      <c r="AC12" s="143" t="s">
        <v>11</v>
      </c>
      <c r="AD12" s="143" t="s">
        <v>36</v>
      </c>
      <c r="AE12" s="143" t="s">
        <v>849</v>
      </c>
      <c r="AF12" s="143" t="s">
        <v>877</v>
      </c>
    </row>
    <row r="13" spans="1:33" ht="15.75" customHeight="1" x14ac:dyDescent="0.15">
      <c r="H13" s="138">
        <v>12</v>
      </c>
      <c r="I13" s="138" t="str">
        <f>IF(VLOOKUP(H13,名簿ﾏｽﾀｰ!$J$7:$K$56,2,0)="","",VLOOKUP(H13,名簿ﾏｽﾀｰ!$J$7:$K$56,2,0))</f>
        <v/>
      </c>
      <c r="J13" s="102" t="str">
        <f>IF(VLOOKUP(H13,名簿ﾏｽﾀｰ!$J$7:$Q$56,7,0)="","",VLOOKUP(H13,名簿ﾏｽﾀｰ!$J$7:$Q$56,7,0))</f>
        <v/>
      </c>
      <c r="K13" s="102" t="str">
        <f>IF(I13="","",IF(J13=1,COUNTIF(入力ﾌｫｰﾑ!$U$3:$U$10,$H13)+COUNTIF(入力ﾌｫｰﾑ!$U$20:$U$27,$H13),IF(J13=2,"")))</f>
        <v/>
      </c>
      <c r="L13" s="102" t="str">
        <f t="shared" si="0"/>
        <v/>
      </c>
      <c r="N13" s="138">
        <v>1</v>
      </c>
      <c r="O13" s="147">
        <v>2</v>
      </c>
      <c r="P13" s="147">
        <f>メインシート!$C$8</f>
        <v>4</v>
      </c>
      <c r="Q13" s="147">
        <v>10</v>
      </c>
      <c r="R13" s="147">
        <f>$D$15</f>
        <v>0</v>
      </c>
      <c r="S13" s="147">
        <f>VALUE(CONCATENATE(O13,P13,Q13,R13))</f>
        <v>24100</v>
      </c>
      <c r="U13" s="93"/>
      <c r="V13" s="143" t="s">
        <v>864</v>
      </c>
      <c r="W13" s="143" t="str">
        <f>IF($U13="","",VALUE(CONCATENATE(S13,N13)))</f>
        <v/>
      </c>
      <c r="X13" s="143" t="str">
        <f>IF($U13="","",(VLOOKUP($U13,名簿ﾏｽﾀｰ!$B$7:$Q$56,10,0)))</f>
        <v/>
      </c>
      <c r="Y13" s="143" t="str">
        <f>IF($U13="","",(VLOOKUP($U13,名簿ﾏｽﾀｰ!$B$7:$Q$56,2,0)))</f>
        <v/>
      </c>
      <c r="Z13" s="143" t="str">
        <f>IF($U13="","",(VLOOKUP($U13,名簿ﾏｽﾀｰ!$B$7:$Q$56,3,0)))</f>
        <v/>
      </c>
      <c r="AA13" s="143" t="str">
        <f>IF($U13="","",(VLOOKUP($U13,名簿ﾏｽﾀｰ!$B$7:$Q$56,4,0)))</f>
        <v/>
      </c>
      <c r="AB13" s="143" t="str">
        <f>IF($U13="","",(VLOOKUP($U13,名簿ﾏｽﾀｰ!$B$7:$Q$56,5,0)))</f>
        <v/>
      </c>
      <c r="AC13" s="143" t="str">
        <f>IF($U13="","",(VLOOKUP($U13,名簿ﾏｽﾀｰ!$B$7:$Q$56,12,0)))</f>
        <v/>
      </c>
      <c r="AD13" s="143" t="str">
        <f>IF($U13="","",(VLOOKUP($U13,名簿ﾏｽﾀｰ!$B$7:$Q$56,13,0)))</f>
        <v/>
      </c>
      <c r="AE13" s="143" t="str">
        <f>IF($U13="","",(VLOOKUP($U13,名簿ﾏｽﾀｰ!$B$7:$Q$56,14,0)))</f>
        <v/>
      </c>
      <c r="AF13" s="159"/>
    </row>
    <row r="14" spans="1:33" ht="15.75" customHeight="1" x14ac:dyDescent="0.15">
      <c r="B14" s="232" t="s">
        <v>53</v>
      </c>
      <c r="C14" s="151" t="s">
        <v>859</v>
      </c>
      <c r="D14" s="152" t="s">
        <v>850</v>
      </c>
      <c r="E14" s="234" t="s">
        <v>861</v>
      </c>
      <c r="F14" s="234" t="s">
        <v>862</v>
      </c>
      <c r="H14" s="138">
        <v>13</v>
      </c>
      <c r="I14" s="138" t="str">
        <f>IF(VLOOKUP(H14,名簿ﾏｽﾀｰ!$J$7:$K$56,2,0)="","",VLOOKUP(H14,名簿ﾏｽﾀｰ!$J$7:$K$56,2,0))</f>
        <v/>
      </c>
      <c r="J14" s="102" t="str">
        <f>IF(VLOOKUP(H14,名簿ﾏｽﾀｰ!$J$7:$Q$56,7,0)="","",VLOOKUP(H14,名簿ﾏｽﾀｰ!$J$7:$Q$56,7,0))</f>
        <v/>
      </c>
      <c r="K14" s="102" t="str">
        <f>IF(I14="","",IF(J14=1,COUNTIF(入力ﾌｫｰﾑ!$U$3:$U$10,$H14)+COUNTIF(入力ﾌｫｰﾑ!$U$20:$U$27,$H14),IF(J14=2,"")))</f>
        <v/>
      </c>
      <c r="L14" s="102" t="str">
        <f t="shared" si="0"/>
        <v/>
      </c>
      <c r="N14" s="138">
        <v>2</v>
      </c>
      <c r="O14" s="138">
        <f t="shared" ref="O14:S17" si="3">O13</f>
        <v>2</v>
      </c>
      <c r="P14" s="138">
        <f t="shared" si="3"/>
        <v>4</v>
      </c>
      <c r="Q14" s="138">
        <f t="shared" si="3"/>
        <v>10</v>
      </c>
      <c r="R14" s="138">
        <f t="shared" si="3"/>
        <v>0</v>
      </c>
      <c r="S14" s="138">
        <f t="shared" si="3"/>
        <v>24100</v>
      </c>
      <c r="U14" s="93"/>
      <c r="V14" s="143" t="s">
        <v>866</v>
      </c>
      <c r="W14" s="143" t="str">
        <f>IF($U14="","",VALUE(CONCATENATE(S14,N14)))</f>
        <v/>
      </c>
      <c r="X14" s="143" t="str">
        <f>IF($U14="","",(VLOOKUP($U14,名簿ﾏｽﾀｰ!$B$7:$Q$56,10,0)))</f>
        <v/>
      </c>
      <c r="Y14" s="143" t="str">
        <f>IF($U14="","",(VLOOKUP($U14,名簿ﾏｽﾀｰ!$B$7:$Q$56,2,0)))</f>
        <v/>
      </c>
      <c r="Z14" s="143" t="str">
        <f>IF($U14="","",(VLOOKUP($U14,名簿ﾏｽﾀｰ!$B$7:$Q$56,3,0)))</f>
        <v/>
      </c>
      <c r="AA14" s="143" t="str">
        <f>IF($U14="","",(VLOOKUP($U14,名簿ﾏｽﾀｰ!$B$7:$Q$56,4,0)))</f>
        <v/>
      </c>
      <c r="AB14" s="143" t="str">
        <f>IF($U14="","",(VLOOKUP($U14,名簿ﾏｽﾀｰ!$B$7:$Q$56,5,0)))</f>
        <v/>
      </c>
      <c r="AC14" s="143" t="str">
        <f>IF($U14="","",(VLOOKUP($U14,名簿ﾏｽﾀｰ!$B$7:$Q$56,12,0)))</f>
        <v/>
      </c>
      <c r="AD14" s="143" t="str">
        <f>IF($U14="","",(VLOOKUP($U14,名簿ﾏｽﾀｰ!$B$7:$Q$56,13,0)))</f>
        <v/>
      </c>
      <c r="AE14" s="143" t="str">
        <f>IF($U14="","",(VLOOKUP($U14,名簿ﾏｽﾀｰ!$B$7:$Q$56,14,0)))</f>
        <v/>
      </c>
      <c r="AF14" s="159"/>
      <c r="AG14" s="135"/>
    </row>
    <row r="15" spans="1:33" ht="15.75" customHeight="1" x14ac:dyDescent="0.15">
      <c r="B15" s="233"/>
      <c r="C15" s="94"/>
      <c r="D15" s="95"/>
      <c r="E15" s="234"/>
      <c r="F15" s="234"/>
      <c r="H15" s="138">
        <v>14</v>
      </c>
      <c r="I15" s="138" t="str">
        <f>IF(VLOOKUP(H15,名簿ﾏｽﾀｰ!$J$7:$K$56,2,0)="","",VLOOKUP(H15,名簿ﾏｽﾀｰ!$J$7:$K$56,2,0))</f>
        <v/>
      </c>
      <c r="J15" s="102" t="str">
        <f>IF(VLOOKUP(H15,名簿ﾏｽﾀｰ!$J$7:$Q$56,7,0)="","",VLOOKUP(H15,名簿ﾏｽﾀｰ!$J$7:$Q$56,7,0))</f>
        <v/>
      </c>
      <c r="K15" s="102" t="str">
        <f>IF(I15="","",IF(J15=1,COUNTIF(入力ﾌｫｰﾑ!$U$3:$U$10,$H15)+COUNTIF(入力ﾌｫｰﾑ!$U$20:$U$27,$H15),IF(J15=2,"")))</f>
        <v/>
      </c>
      <c r="L15" s="102" t="str">
        <f t="shared" si="0"/>
        <v/>
      </c>
      <c r="N15" s="138">
        <v>3</v>
      </c>
      <c r="O15" s="138">
        <f t="shared" si="3"/>
        <v>2</v>
      </c>
      <c r="P15" s="138">
        <f t="shared" si="3"/>
        <v>4</v>
      </c>
      <c r="Q15" s="138">
        <f t="shared" si="3"/>
        <v>10</v>
      </c>
      <c r="R15" s="138">
        <f t="shared" si="3"/>
        <v>0</v>
      </c>
      <c r="S15" s="138">
        <f t="shared" si="3"/>
        <v>24100</v>
      </c>
      <c r="U15" s="93"/>
      <c r="V15" s="143" t="s">
        <v>857</v>
      </c>
      <c r="W15" s="143" t="str">
        <f>IF($U15="","",VALUE(CONCATENATE(S15,N15)))</f>
        <v/>
      </c>
      <c r="X15" s="143" t="str">
        <f>IF($U15="","",(VLOOKUP($U15,名簿ﾏｽﾀｰ!$B$7:$Q$56,10,0)))</f>
        <v/>
      </c>
      <c r="Y15" s="143" t="str">
        <f>IF($U15="","",(VLOOKUP($U15,名簿ﾏｽﾀｰ!$B$7:$Q$56,2,0)))</f>
        <v/>
      </c>
      <c r="Z15" s="143" t="str">
        <f>IF($U15="","",(VLOOKUP($U15,名簿ﾏｽﾀｰ!$B$7:$Q$56,3,0)))</f>
        <v/>
      </c>
      <c r="AA15" s="143" t="str">
        <f>IF($U15="","",(VLOOKUP($U15,名簿ﾏｽﾀｰ!$B$7:$Q$56,4,0)))</f>
        <v/>
      </c>
      <c r="AB15" s="143" t="str">
        <f>IF($U15="","",(VLOOKUP($U15,名簿ﾏｽﾀｰ!$B$7:$Q$56,5,0)))</f>
        <v/>
      </c>
      <c r="AC15" s="143" t="str">
        <f>IF($U15="","",(VLOOKUP($U15,名簿ﾏｽﾀｰ!$B$7:$Q$56,12,0)))</f>
        <v/>
      </c>
      <c r="AD15" s="143" t="str">
        <f>IF($U15="","",(VLOOKUP($U15,名簿ﾏｽﾀｰ!$B$7:$Q$56,13,0)))</f>
        <v/>
      </c>
      <c r="AE15" s="143" t="str">
        <f>IF($U15="","",(VLOOKUP($U15,名簿ﾏｽﾀｰ!$B$7:$Q$56,14,0)))</f>
        <v/>
      </c>
      <c r="AF15" s="159"/>
      <c r="AG15" s="135"/>
    </row>
    <row r="16" spans="1:33" ht="15.75" customHeight="1" x14ac:dyDescent="0.15">
      <c r="A16" s="132">
        <f>VALUE(CONCATENATE($S$13,1))</f>
        <v>241001</v>
      </c>
      <c r="B16" s="153" t="s">
        <v>56</v>
      </c>
      <c r="C16" s="96"/>
      <c r="D16" s="154" t="str">
        <f>IF(C16="","",VLOOKUP($C16,$B$4:$E$7,2,0))</f>
        <v/>
      </c>
      <c r="E16" s="160" t="str">
        <f>IF($C16="","",IF(VLOOKUP($C16,メインシート!$E$13:$R$19,9,0)="","",VLOOKUP($C16,メインシート!$E$13:$R$19,9,0)))</f>
        <v/>
      </c>
      <c r="F16" s="160" t="str">
        <f>IF($C16="","",IF(VLOOKUP($C16,メインシート!$E$13:$R$19,10,0)="","",VLOOKUP($C16,メインシート!$E$13:$R$19,10,0)))</f>
        <v/>
      </c>
      <c r="H16" s="138">
        <v>15</v>
      </c>
      <c r="I16" s="138" t="str">
        <f>IF(VLOOKUP(H16,名簿ﾏｽﾀｰ!$J$7:$K$56,2,0)="","",VLOOKUP(H16,名簿ﾏｽﾀｰ!$J$7:$K$56,2,0))</f>
        <v/>
      </c>
      <c r="J16" s="102" t="str">
        <f>IF(VLOOKUP(H16,名簿ﾏｽﾀｰ!$J$7:$Q$56,7,0)="","",VLOOKUP(H16,名簿ﾏｽﾀｰ!$J$7:$Q$56,7,0))</f>
        <v/>
      </c>
      <c r="K16" s="102" t="str">
        <f>IF(I16="","",IF(J16=1,COUNTIF(入力ﾌｫｰﾑ!$U$3:$U$10,$H16)+COUNTIF(入力ﾌｫｰﾑ!$U$20:$U$27,$H16),IF(J16=2,"")))</f>
        <v/>
      </c>
      <c r="L16" s="102" t="str">
        <f t="shared" si="0"/>
        <v/>
      </c>
      <c r="N16" s="138">
        <v>4</v>
      </c>
      <c r="O16" s="138">
        <f t="shared" si="3"/>
        <v>2</v>
      </c>
      <c r="P16" s="138">
        <f t="shared" si="3"/>
        <v>4</v>
      </c>
      <c r="Q16" s="138">
        <f t="shared" si="3"/>
        <v>10</v>
      </c>
      <c r="R16" s="138">
        <f t="shared" si="3"/>
        <v>0</v>
      </c>
      <c r="S16" s="138">
        <f t="shared" si="3"/>
        <v>24100</v>
      </c>
      <c r="U16" s="93"/>
      <c r="V16" s="143" t="s">
        <v>871</v>
      </c>
      <c r="W16" s="143" t="str">
        <f>IF($U16="","",VALUE(CONCATENATE(S16,N16)))</f>
        <v/>
      </c>
      <c r="X16" s="143" t="str">
        <f>IF($U16="","",(VLOOKUP($U16,名簿ﾏｽﾀｰ!$B$7:$Q$56,10,0)))</f>
        <v/>
      </c>
      <c r="Y16" s="143" t="str">
        <f>IF($U16="","",(VLOOKUP($U16,名簿ﾏｽﾀｰ!$B$7:$Q$56,2,0)))</f>
        <v/>
      </c>
      <c r="Z16" s="143" t="str">
        <f>IF($U16="","",(VLOOKUP($U16,名簿ﾏｽﾀｰ!$B$7:$Q$56,3,0)))</f>
        <v/>
      </c>
      <c r="AA16" s="143" t="str">
        <f>IF($U16="","",(VLOOKUP($U16,名簿ﾏｽﾀｰ!$B$7:$Q$56,4,0)))</f>
        <v/>
      </c>
      <c r="AB16" s="143" t="str">
        <f>IF($U16="","",(VLOOKUP($U16,名簿ﾏｽﾀｰ!$B$7:$Q$56,5,0)))</f>
        <v/>
      </c>
      <c r="AC16" s="143" t="str">
        <f>IF($U16="","",(VLOOKUP($U16,名簿ﾏｽﾀｰ!$B$7:$Q$56,12,0)))</f>
        <v/>
      </c>
      <c r="AD16" s="143" t="str">
        <f>IF($U16="","",(VLOOKUP($U16,名簿ﾏｽﾀｰ!$B$7:$Q$56,13,0)))</f>
        <v/>
      </c>
      <c r="AE16" s="143" t="str">
        <f>IF($U16="","",(VLOOKUP($U16,名簿ﾏｽﾀｰ!$B$7:$Q$56,14,0)))</f>
        <v/>
      </c>
      <c r="AF16" s="159"/>
    </row>
    <row r="17" spans="1:32" ht="15.75" customHeight="1" x14ac:dyDescent="0.15">
      <c r="A17" s="132">
        <f>VALUE(CONCATENATE($S$13,2))</f>
        <v>241002</v>
      </c>
      <c r="B17" s="153" t="s">
        <v>57</v>
      </c>
      <c r="C17" s="96"/>
      <c r="D17" s="154" t="str">
        <f>IF(C17="","",VLOOKUP($C17,$B$4:$E$7,2,0))</f>
        <v/>
      </c>
      <c r="G17" s="135"/>
      <c r="H17" s="138">
        <v>16</v>
      </c>
      <c r="I17" s="138" t="str">
        <f>IF(VLOOKUP(H17,名簿ﾏｽﾀｰ!$J$7:$K$56,2,0)="","",VLOOKUP(H17,名簿ﾏｽﾀｰ!$J$7:$K$56,2,0))</f>
        <v/>
      </c>
      <c r="J17" s="102" t="str">
        <f>IF(VLOOKUP(H17,名簿ﾏｽﾀｰ!$J$7:$Q$56,7,0)="","",VLOOKUP(H17,名簿ﾏｽﾀｰ!$J$7:$Q$56,7,0))</f>
        <v/>
      </c>
      <c r="K17" s="102" t="str">
        <f>IF(I17="","",IF(J17=1,COUNTIF(入力ﾌｫｰﾑ!$U$3:$U$10,$H17)+COUNTIF(入力ﾌｫｰﾑ!$U$20:$U$27,$H17),IF(J17=2,"")))</f>
        <v/>
      </c>
      <c r="L17" s="102" t="str">
        <f t="shared" si="0"/>
        <v/>
      </c>
      <c r="M17" s="135"/>
      <c r="N17" s="138">
        <v>5</v>
      </c>
      <c r="O17" s="138">
        <f t="shared" si="3"/>
        <v>2</v>
      </c>
      <c r="P17" s="138">
        <f t="shared" si="3"/>
        <v>4</v>
      </c>
      <c r="Q17" s="138">
        <f t="shared" si="3"/>
        <v>10</v>
      </c>
      <c r="R17" s="138">
        <f t="shared" si="3"/>
        <v>0</v>
      </c>
      <c r="S17" s="138">
        <f t="shared" si="3"/>
        <v>24100</v>
      </c>
      <c r="T17" s="135"/>
      <c r="U17" s="93"/>
      <c r="V17" s="143" t="s">
        <v>872</v>
      </c>
      <c r="W17" s="143" t="str">
        <f>IF($U17="","",VALUE(CONCATENATE(S17,N17)))</f>
        <v/>
      </c>
      <c r="X17" s="143" t="str">
        <f>IF($U17="","",(VLOOKUP($U17,名簿ﾏｽﾀｰ!$B$7:$Q$56,10,0)))</f>
        <v/>
      </c>
      <c r="Y17" s="143" t="str">
        <f>IF($U17="","",(VLOOKUP($U17,名簿ﾏｽﾀｰ!$B$7:$Q$56,2,0)))</f>
        <v/>
      </c>
      <c r="Z17" s="143" t="str">
        <f>IF($U17="","",(VLOOKUP($U17,名簿ﾏｽﾀｰ!$B$7:$Q$56,3,0)))</f>
        <v/>
      </c>
      <c r="AA17" s="143" t="str">
        <f>IF($U17="","",(VLOOKUP($U17,名簿ﾏｽﾀｰ!$B$7:$Q$56,4,0)))</f>
        <v/>
      </c>
      <c r="AB17" s="143" t="str">
        <f>IF($U17="","",(VLOOKUP($U17,名簿ﾏｽﾀｰ!$B$7:$Q$56,5,0)))</f>
        <v/>
      </c>
      <c r="AC17" s="143" t="str">
        <f>IF($U17="","",(VLOOKUP($U17,名簿ﾏｽﾀｰ!$B$7:$Q$56,12,0)))</f>
        <v/>
      </c>
      <c r="AD17" s="143" t="str">
        <f>IF($U17="","",(VLOOKUP($U17,名簿ﾏｽﾀｰ!$B$7:$Q$56,13,0)))</f>
        <v/>
      </c>
      <c r="AE17" s="143" t="str">
        <f>IF($U17="","",(VLOOKUP($U17,名簿ﾏｽﾀｰ!$B$7:$Q$56,14,0)))</f>
        <v/>
      </c>
      <c r="AF17" s="159"/>
    </row>
    <row r="18" spans="1:32" ht="15.75" customHeight="1" x14ac:dyDescent="0.15">
      <c r="C18" s="135"/>
      <c r="D18" s="135"/>
      <c r="E18" s="135"/>
      <c r="F18" s="135"/>
      <c r="H18" s="138">
        <v>17</v>
      </c>
      <c r="I18" s="138" t="str">
        <f>IF(VLOOKUP(H18,名簿ﾏｽﾀｰ!$J$7:$K$56,2,0)="","",VLOOKUP(H18,名簿ﾏｽﾀｰ!$J$7:$K$56,2,0))</f>
        <v/>
      </c>
      <c r="J18" s="102" t="str">
        <f>IF(VLOOKUP(H18,名簿ﾏｽﾀｰ!$J$7:$Q$56,7,0)="","",VLOOKUP(H18,名簿ﾏｽﾀｰ!$J$7:$Q$56,7,0))</f>
        <v/>
      </c>
      <c r="K18" s="102" t="str">
        <f>IF(I18="","",IF(J18=1,COUNTIF(入力ﾌｫｰﾑ!$U$3:$U$10,$H18)+COUNTIF(入力ﾌｫｰﾑ!$U$20:$U$27,$H18),IF(J18=2,"")))</f>
        <v/>
      </c>
      <c r="L18" s="102" t="str">
        <f t="shared" si="0"/>
        <v/>
      </c>
      <c r="U18" s="134" t="s">
        <v>880</v>
      </c>
      <c r="V18" s="155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</row>
    <row r="19" spans="1:32" ht="15.75" customHeight="1" x14ac:dyDescent="0.15">
      <c r="B19" s="232" t="s">
        <v>54</v>
      </c>
      <c r="C19" s="151" t="s">
        <v>859</v>
      </c>
      <c r="D19" s="157"/>
      <c r="E19" s="234" t="s">
        <v>861</v>
      </c>
      <c r="F19" s="234" t="s">
        <v>862</v>
      </c>
      <c r="H19" s="138">
        <v>18</v>
      </c>
      <c r="I19" s="138" t="str">
        <f>IF(VLOOKUP(H19,名簿ﾏｽﾀｰ!$J$7:$K$56,2,0)="","",VLOOKUP(H19,名簿ﾏｽﾀｰ!$J$7:$K$56,2,0))</f>
        <v/>
      </c>
      <c r="J19" s="102" t="str">
        <f>IF(VLOOKUP(H19,名簿ﾏｽﾀｰ!$J$7:$Q$56,7,0)="","",VLOOKUP(H19,名簿ﾏｽﾀｰ!$J$7:$Q$56,7,0))</f>
        <v/>
      </c>
      <c r="K19" s="102" t="str">
        <f>IF(I19="","",IF(J19=1,COUNTIF(入力ﾌｫｰﾑ!$U$3:$U$10,$H19)+COUNTIF(入力ﾌｫｰﾑ!$U$20:$U$27,$H19),IF(J19=2,"")))</f>
        <v/>
      </c>
      <c r="L19" s="102" t="str">
        <f t="shared" si="0"/>
        <v/>
      </c>
      <c r="N19" s="140" t="s">
        <v>1104</v>
      </c>
      <c r="O19" s="140" t="s">
        <v>1099</v>
      </c>
      <c r="P19" s="140" t="s">
        <v>1100</v>
      </c>
      <c r="Q19" s="140" t="s">
        <v>1101</v>
      </c>
      <c r="R19" s="140" t="s">
        <v>1102</v>
      </c>
      <c r="S19" s="140" t="s">
        <v>1105</v>
      </c>
      <c r="U19" s="142" t="s">
        <v>884</v>
      </c>
      <c r="V19" s="143" t="s">
        <v>850</v>
      </c>
      <c r="W19" s="144" t="s">
        <v>869</v>
      </c>
      <c r="X19" s="143" t="s">
        <v>870</v>
      </c>
      <c r="Y19" s="143" t="s">
        <v>37</v>
      </c>
      <c r="Z19" s="143" t="s">
        <v>874</v>
      </c>
      <c r="AA19" s="143" t="s">
        <v>875</v>
      </c>
      <c r="AB19" s="143" t="s">
        <v>876</v>
      </c>
      <c r="AC19" s="143" t="s">
        <v>11</v>
      </c>
      <c r="AD19" s="143" t="s">
        <v>36</v>
      </c>
      <c r="AE19" s="143" t="s">
        <v>849</v>
      </c>
      <c r="AF19" s="143" t="s">
        <v>881</v>
      </c>
    </row>
    <row r="20" spans="1:32" ht="15.75" customHeight="1" x14ac:dyDescent="0.15">
      <c r="B20" s="233"/>
      <c r="C20" s="94"/>
      <c r="D20" s="158"/>
      <c r="E20" s="234"/>
      <c r="F20" s="234"/>
      <c r="H20" s="138">
        <v>19</v>
      </c>
      <c r="I20" s="138" t="str">
        <f>IF(VLOOKUP(H20,名簿ﾏｽﾀｰ!$J$7:$K$56,2,0)="","",VLOOKUP(H20,名簿ﾏｽﾀｰ!$J$7:$K$56,2,0))</f>
        <v/>
      </c>
      <c r="J20" s="102" t="str">
        <f>IF(VLOOKUP(H20,名簿ﾏｽﾀｰ!$J$7:$Q$56,7,0)="","",VLOOKUP(H20,名簿ﾏｽﾀｰ!$J$7:$Q$56,7,0))</f>
        <v/>
      </c>
      <c r="K20" s="102" t="str">
        <f>IF(I20="","",IF(J20=1,COUNTIF(入力ﾌｫｰﾑ!$U$3:$U$10,$H20)+COUNTIF(入力ﾌｫｰﾑ!$U$20:$U$27,$H20),IF(J20=2,"")))</f>
        <v/>
      </c>
      <c r="L20" s="102" t="str">
        <f t="shared" si="0"/>
        <v/>
      </c>
      <c r="N20" s="138">
        <v>1</v>
      </c>
      <c r="O20" s="147">
        <v>1</v>
      </c>
      <c r="P20" s="147">
        <f>メインシート!$C$8</f>
        <v>4</v>
      </c>
      <c r="Q20" s="147" t="str">
        <f t="shared" ref="Q20:Q27" si="4">IF($U20="","",LEFT($V20,2))</f>
        <v/>
      </c>
      <c r="R20" s="147" t="str">
        <f t="shared" ref="R20:R27" si="5">IF($U20="","",RIGHT($V20,1))</f>
        <v/>
      </c>
      <c r="S20" s="147" t="str">
        <f t="shared" ref="S20:S27" si="6">IF(U20="","",VALUE(CONCATENATE(O20,P20,Q20,R20)))</f>
        <v/>
      </c>
      <c r="U20" s="93"/>
      <c r="V20" s="97"/>
      <c r="W20" s="143" t="str">
        <f t="shared" ref="W20:W27" si="7">IF(U20="","",S20)</f>
        <v/>
      </c>
      <c r="X20" s="143" t="str">
        <f>IF($U20="","",(VLOOKUP($U20,名簿ﾏｽﾀｰ!$B$7:$Q$56,10,0)))</f>
        <v/>
      </c>
      <c r="Y20" s="143" t="str">
        <f>IF($U20="","",(VLOOKUP($U20,名簿ﾏｽﾀｰ!$B$7:$Q$56,2,0)))</f>
        <v/>
      </c>
      <c r="Z20" s="143" t="str">
        <f>IF($U20="","",(VLOOKUP($U20,名簿ﾏｽﾀｰ!$B$7:$Q$56,3,0)))</f>
        <v/>
      </c>
      <c r="AA20" s="143" t="str">
        <f>IF($U20="","",(VLOOKUP($U20,名簿ﾏｽﾀｰ!$B$7:$Q$56,4,0)))</f>
        <v/>
      </c>
      <c r="AB20" s="143" t="str">
        <f>IF($U20="","",(VLOOKUP($U20,名簿ﾏｽﾀｰ!$B$7:$Q$56,5,0)))</f>
        <v/>
      </c>
      <c r="AC20" s="143" t="str">
        <f>IF($U20="","",(VLOOKUP($U20,名簿ﾏｽﾀｰ!$B$7:$Q$56,12,0)))</f>
        <v/>
      </c>
      <c r="AD20" s="143" t="str">
        <f>IF($U20="","",(VLOOKUP($U20,名簿ﾏｽﾀｰ!$B$7:$Q$56,13,0)))</f>
        <v/>
      </c>
      <c r="AE20" s="143" t="str">
        <f>IF($U20="","",(VLOOKUP($U20,名簿ﾏｽﾀｰ!$B$7:$Q$56,14,0)))</f>
        <v/>
      </c>
      <c r="AF20" s="159"/>
    </row>
    <row r="21" spans="1:32" ht="15.75" customHeight="1" x14ac:dyDescent="0.15">
      <c r="A21" s="132">
        <f>VALUE(CONCATENATE($O$20,$P$20,2001))</f>
        <v>142001</v>
      </c>
      <c r="B21" s="153" t="s">
        <v>56</v>
      </c>
      <c r="C21" s="96"/>
      <c r="D21" s="154" t="str">
        <f>IF(C21="","",VLOOKUP($C21,$B$4:$E$7,2,0))</f>
        <v/>
      </c>
      <c r="E21" s="160" t="str">
        <f>IF($C21="","",IF(VLOOKUP($C21,メインシート!$E$13:$R$19,9,0)="","",VLOOKUP($C21,メインシート!$E$13:$R$19,9,0)))</f>
        <v/>
      </c>
      <c r="F21" s="160" t="str">
        <f>IF($C21="","",IF(VLOOKUP($C21,メインシート!$E$13:$R$19,10,0)="","",VLOOKUP($C21,メインシート!$E$13:$R$19,10,0)))</f>
        <v/>
      </c>
      <c r="H21" s="138">
        <v>20</v>
      </c>
      <c r="I21" s="138" t="str">
        <f>IF(VLOOKUP(H21,名簿ﾏｽﾀｰ!$J$7:$K$56,2,0)="","",VLOOKUP(H21,名簿ﾏｽﾀｰ!$J$7:$K$56,2,0))</f>
        <v/>
      </c>
      <c r="J21" s="102" t="str">
        <f>IF(VLOOKUP(H21,名簿ﾏｽﾀｰ!$J$7:$Q$56,7,0)="","",VLOOKUP(H21,名簿ﾏｽﾀｰ!$J$7:$Q$56,7,0))</f>
        <v/>
      </c>
      <c r="K21" s="102" t="str">
        <f>IF(I21="","",IF(J21=1,COUNTIF(入力ﾌｫｰﾑ!$U$3:$U$10,$H21)+COUNTIF(入力ﾌｫｰﾑ!$U$20:$U$27,$H21),IF(J21=2,"")))</f>
        <v/>
      </c>
      <c r="L21" s="102" t="str">
        <f t="shared" si="0"/>
        <v/>
      </c>
      <c r="N21" s="138">
        <v>2</v>
      </c>
      <c r="O21" s="138">
        <f t="shared" ref="O21:O29" si="8">O20</f>
        <v>1</v>
      </c>
      <c r="P21" s="138">
        <f t="shared" ref="P21:P29" si="9">P20</f>
        <v>4</v>
      </c>
      <c r="Q21" s="138" t="str">
        <f t="shared" si="4"/>
        <v/>
      </c>
      <c r="R21" s="138" t="str">
        <f t="shared" si="5"/>
        <v/>
      </c>
      <c r="S21" s="138" t="str">
        <f t="shared" si="6"/>
        <v/>
      </c>
      <c r="U21" s="93"/>
      <c r="V21" s="97"/>
      <c r="W21" s="143" t="str">
        <f t="shared" si="7"/>
        <v/>
      </c>
      <c r="X21" s="143" t="str">
        <f>IF($U21="","",(VLOOKUP($U21,名簿ﾏｽﾀｰ!$B$7:$Q$56,10,0)))</f>
        <v/>
      </c>
      <c r="Y21" s="143" t="str">
        <f>IF($U21="","",(VLOOKUP($U21,名簿ﾏｽﾀｰ!$B$7:$Q$56,2,0)))</f>
        <v/>
      </c>
      <c r="Z21" s="143" t="str">
        <f>IF($U21="","",(VLOOKUP($U21,名簿ﾏｽﾀｰ!$B$7:$Q$56,3,0)))</f>
        <v/>
      </c>
      <c r="AA21" s="143" t="str">
        <f>IF($U21="","",(VLOOKUP($U21,名簿ﾏｽﾀｰ!$B$7:$Q$56,4,0)))</f>
        <v/>
      </c>
      <c r="AB21" s="143" t="str">
        <f>IF($U21="","",(VLOOKUP($U21,名簿ﾏｽﾀｰ!$B$7:$Q$56,5,0)))</f>
        <v/>
      </c>
      <c r="AC21" s="143" t="str">
        <f>IF($U21="","",(VLOOKUP($U21,名簿ﾏｽﾀｰ!$B$7:$Q$56,12,0)))</f>
        <v/>
      </c>
      <c r="AD21" s="143" t="str">
        <f>IF($U21="","",(VLOOKUP($U21,名簿ﾏｽﾀｰ!$B$7:$Q$56,13,0)))</f>
        <v/>
      </c>
      <c r="AE21" s="143" t="str">
        <f>IF($U21="","",(VLOOKUP($U21,名簿ﾏｽﾀｰ!$B$7:$Q$56,14,0)))</f>
        <v/>
      </c>
      <c r="AF21" s="159"/>
    </row>
    <row r="22" spans="1:32" ht="15.75" customHeight="1" x14ac:dyDescent="0.15">
      <c r="A22" s="132">
        <f>VALUE(CONCATENATE($O$20,$P$20,2002))</f>
        <v>142002</v>
      </c>
      <c r="B22" s="153" t="s">
        <v>57</v>
      </c>
      <c r="C22" s="96"/>
      <c r="D22" s="154" t="str">
        <f>IF(C22="","",VLOOKUP($C22,$B$4:$E$7,2,0))</f>
        <v/>
      </c>
      <c r="H22" s="138">
        <v>21</v>
      </c>
      <c r="I22" s="138" t="str">
        <f>IF(VLOOKUP(H22,名簿ﾏｽﾀｰ!$J$7:$K$56,2,0)="","",VLOOKUP(H22,名簿ﾏｽﾀｰ!$J$7:$K$56,2,0))</f>
        <v/>
      </c>
      <c r="J22" s="102" t="str">
        <f>IF(VLOOKUP(H22,名簿ﾏｽﾀｰ!$J$7:$Q$56,7,0)="","",VLOOKUP(H22,名簿ﾏｽﾀｰ!$J$7:$Q$56,7,0))</f>
        <v/>
      </c>
      <c r="K22" s="102" t="str">
        <f>IF(I22="","",IF(J22=1,COUNTIF(入力ﾌｫｰﾑ!$U$3:$U$10,$H22)+COUNTIF(入力ﾌｫｰﾑ!$U$20:$U$27,$H22),IF(J22=2,"")))</f>
        <v/>
      </c>
      <c r="L22" s="102" t="str">
        <f t="shared" si="0"/>
        <v/>
      </c>
      <c r="N22" s="138">
        <v>3</v>
      </c>
      <c r="O22" s="138">
        <f t="shared" si="8"/>
        <v>1</v>
      </c>
      <c r="P22" s="138">
        <f t="shared" si="9"/>
        <v>4</v>
      </c>
      <c r="Q22" s="138" t="str">
        <f t="shared" si="4"/>
        <v/>
      </c>
      <c r="R22" s="138" t="str">
        <f t="shared" si="5"/>
        <v/>
      </c>
      <c r="S22" s="138" t="str">
        <f t="shared" si="6"/>
        <v/>
      </c>
      <c r="U22" s="93"/>
      <c r="V22" s="97"/>
      <c r="W22" s="143" t="str">
        <f t="shared" si="7"/>
        <v/>
      </c>
      <c r="X22" s="143" t="str">
        <f>IF($U22="","",(VLOOKUP($U22,名簿ﾏｽﾀｰ!$B$7:$Q$56,10,0)))</f>
        <v/>
      </c>
      <c r="Y22" s="143" t="str">
        <f>IF($U22="","",(VLOOKUP($U22,名簿ﾏｽﾀｰ!$B$7:$Q$56,2,0)))</f>
        <v/>
      </c>
      <c r="Z22" s="143" t="str">
        <f>IF($U22="","",(VLOOKUP($U22,名簿ﾏｽﾀｰ!$B$7:$Q$56,3,0)))</f>
        <v/>
      </c>
      <c r="AA22" s="143" t="str">
        <f>IF($U22="","",(VLOOKUP($U22,名簿ﾏｽﾀｰ!$B$7:$Q$56,4,0)))</f>
        <v/>
      </c>
      <c r="AB22" s="143" t="str">
        <f>IF($U22="","",(VLOOKUP($U22,名簿ﾏｽﾀｰ!$B$7:$Q$56,5,0)))</f>
        <v/>
      </c>
      <c r="AC22" s="143" t="str">
        <f>IF($U22="","",(VLOOKUP($U22,名簿ﾏｽﾀｰ!$B$7:$Q$56,12,0)))</f>
        <v/>
      </c>
      <c r="AD22" s="143" t="str">
        <f>IF($U22="","",(VLOOKUP($U22,名簿ﾏｽﾀｰ!$B$7:$Q$56,13,0)))</f>
        <v/>
      </c>
      <c r="AE22" s="143" t="str">
        <f>IF($U22="","",(VLOOKUP($U22,名簿ﾏｽﾀｰ!$B$7:$Q$56,14,0)))</f>
        <v/>
      </c>
      <c r="AF22" s="159"/>
    </row>
    <row r="23" spans="1:32" ht="15.75" customHeight="1" x14ac:dyDescent="0.15">
      <c r="B23" s="133"/>
      <c r="H23" s="138">
        <v>22</v>
      </c>
      <c r="I23" s="138" t="str">
        <f>IF(VLOOKUP(H23,名簿ﾏｽﾀｰ!$J$7:$K$56,2,0)="","",VLOOKUP(H23,名簿ﾏｽﾀｰ!$J$7:$K$56,2,0))</f>
        <v/>
      </c>
      <c r="J23" s="102" t="str">
        <f>IF(VLOOKUP(H23,名簿ﾏｽﾀｰ!$J$7:$Q$56,7,0)="","",VLOOKUP(H23,名簿ﾏｽﾀｰ!$J$7:$Q$56,7,0))</f>
        <v/>
      </c>
      <c r="K23" s="102" t="str">
        <f>IF(I23="","",IF(J23=1,COUNTIF(入力ﾌｫｰﾑ!$U$3:$U$10,$H23)+COUNTIF(入力ﾌｫｰﾑ!$U$20:$U$27,$H23),IF(J23=2,"")))</f>
        <v/>
      </c>
      <c r="L23" s="102" t="str">
        <f t="shared" si="0"/>
        <v/>
      </c>
      <c r="N23" s="138">
        <v>4</v>
      </c>
      <c r="O23" s="138">
        <f t="shared" si="8"/>
        <v>1</v>
      </c>
      <c r="P23" s="138">
        <f t="shared" si="9"/>
        <v>4</v>
      </c>
      <c r="Q23" s="138" t="str">
        <f t="shared" si="4"/>
        <v/>
      </c>
      <c r="R23" s="138" t="str">
        <f t="shared" si="5"/>
        <v/>
      </c>
      <c r="S23" s="138" t="str">
        <f t="shared" si="6"/>
        <v/>
      </c>
      <c r="U23" s="93"/>
      <c r="V23" s="97"/>
      <c r="W23" s="143" t="str">
        <f t="shared" si="7"/>
        <v/>
      </c>
      <c r="X23" s="143" t="str">
        <f>IF($U23="","",(VLOOKUP($U23,名簿ﾏｽﾀｰ!$B$7:$Q$56,10,0)))</f>
        <v/>
      </c>
      <c r="Y23" s="143" t="str">
        <f>IF($U23="","",(VLOOKUP($U23,名簿ﾏｽﾀｰ!$B$7:$Q$56,2,0)))</f>
        <v/>
      </c>
      <c r="Z23" s="143" t="str">
        <f>IF($U23="","",(VLOOKUP($U23,名簿ﾏｽﾀｰ!$B$7:$Q$56,3,0)))</f>
        <v/>
      </c>
      <c r="AA23" s="143" t="str">
        <f>IF($U23="","",(VLOOKUP($U23,名簿ﾏｽﾀｰ!$B$7:$Q$56,4,0)))</f>
        <v/>
      </c>
      <c r="AB23" s="143" t="str">
        <f>IF($U23="","",(VLOOKUP($U23,名簿ﾏｽﾀｰ!$B$7:$Q$56,5,0)))</f>
        <v/>
      </c>
      <c r="AC23" s="143" t="str">
        <f>IF($U23="","",(VLOOKUP($U23,名簿ﾏｽﾀｰ!$B$7:$Q$56,12,0)))</f>
        <v/>
      </c>
      <c r="AD23" s="143" t="str">
        <f>IF($U23="","",(VLOOKUP($U23,名簿ﾏｽﾀｰ!$B$7:$Q$56,13,0)))</f>
        <v/>
      </c>
      <c r="AE23" s="143" t="str">
        <f>IF($U23="","",(VLOOKUP($U23,名簿ﾏｽﾀｰ!$B$7:$Q$56,14,0)))</f>
        <v/>
      </c>
      <c r="AF23" s="159"/>
    </row>
    <row r="24" spans="1:32" ht="15.75" customHeight="1" x14ac:dyDescent="0.15">
      <c r="B24" s="232" t="s">
        <v>55</v>
      </c>
      <c r="C24" s="151" t="s">
        <v>859</v>
      </c>
      <c r="D24" s="157"/>
      <c r="E24" s="234" t="s">
        <v>861</v>
      </c>
      <c r="F24" s="234" t="s">
        <v>862</v>
      </c>
      <c r="H24" s="138">
        <v>23</v>
      </c>
      <c r="I24" s="138" t="str">
        <f>IF(VLOOKUP(H24,名簿ﾏｽﾀｰ!$J$7:$K$56,2,0)="","",VLOOKUP(H24,名簿ﾏｽﾀｰ!$J$7:$K$56,2,0))</f>
        <v/>
      </c>
      <c r="J24" s="102" t="str">
        <f>IF(VLOOKUP(H24,名簿ﾏｽﾀｰ!$J$7:$Q$56,7,0)="","",VLOOKUP(H24,名簿ﾏｽﾀｰ!$J$7:$Q$56,7,0))</f>
        <v/>
      </c>
      <c r="K24" s="102" t="str">
        <f>IF(I24="","",IF(J24=1,COUNTIF(入力ﾌｫｰﾑ!$U$3:$U$10,$H24)+COUNTIF(入力ﾌｫｰﾑ!$U$20:$U$27,$H24),IF(J24=2,"")))</f>
        <v/>
      </c>
      <c r="L24" s="102" t="str">
        <f t="shared" si="0"/>
        <v/>
      </c>
      <c r="N24" s="138">
        <v>5</v>
      </c>
      <c r="O24" s="138">
        <f t="shared" si="8"/>
        <v>1</v>
      </c>
      <c r="P24" s="138">
        <f t="shared" si="9"/>
        <v>4</v>
      </c>
      <c r="Q24" s="138" t="str">
        <f t="shared" si="4"/>
        <v/>
      </c>
      <c r="R24" s="138" t="str">
        <f t="shared" si="5"/>
        <v/>
      </c>
      <c r="S24" s="138" t="str">
        <f t="shared" si="6"/>
        <v/>
      </c>
      <c r="U24" s="93"/>
      <c r="V24" s="97"/>
      <c r="W24" s="143" t="str">
        <f t="shared" si="7"/>
        <v/>
      </c>
      <c r="X24" s="143" t="str">
        <f>IF($U24="","",(VLOOKUP($U24,名簿ﾏｽﾀｰ!$B$7:$Q$56,10,0)))</f>
        <v/>
      </c>
      <c r="Y24" s="143" t="str">
        <f>IF($U24="","",(VLOOKUP($U24,名簿ﾏｽﾀｰ!$B$7:$Q$56,2,0)))</f>
        <v/>
      </c>
      <c r="Z24" s="143" t="str">
        <f>IF($U24="","",(VLOOKUP($U24,名簿ﾏｽﾀｰ!$B$7:$Q$56,3,0)))</f>
        <v/>
      </c>
      <c r="AA24" s="143" t="str">
        <f>IF($U24="","",(VLOOKUP($U24,名簿ﾏｽﾀｰ!$B$7:$Q$56,4,0)))</f>
        <v/>
      </c>
      <c r="AB24" s="143" t="str">
        <f>IF($U24="","",(VLOOKUP($U24,名簿ﾏｽﾀｰ!$B$7:$Q$56,5,0)))</f>
        <v/>
      </c>
      <c r="AC24" s="143" t="str">
        <f>IF($U24="","",(VLOOKUP($U24,名簿ﾏｽﾀｰ!$B$7:$Q$56,12,0)))</f>
        <v/>
      </c>
      <c r="AD24" s="143" t="str">
        <f>IF($U24="","",(VLOOKUP($U24,名簿ﾏｽﾀｰ!$B$7:$Q$56,13,0)))</f>
        <v/>
      </c>
      <c r="AE24" s="143" t="str">
        <f>IF($U24="","",(VLOOKUP($U24,名簿ﾏｽﾀｰ!$B$7:$Q$56,14,0)))</f>
        <v/>
      </c>
      <c r="AF24" s="159"/>
    </row>
    <row r="25" spans="1:32" ht="15.75" customHeight="1" x14ac:dyDescent="0.15">
      <c r="B25" s="233"/>
      <c r="C25" s="94"/>
      <c r="D25" s="158"/>
      <c r="E25" s="234"/>
      <c r="F25" s="234"/>
      <c r="H25" s="138">
        <v>24</v>
      </c>
      <c r="I25" s="138" t="str">
        <f>IF(VLOOKUP(H25,名簿ﾏｽﾀｰ!$J$7:$K$56,2,0)="","",VLOOKUP(H25,名簿ﾏｽﾀｰ!$J$7:$K$56,2,0))</f>
        <v/>
      </c>
      <c r="J25" s="102" t="str">
        <f>IF(VLOOKUP(H25,名簿ﾏｽﾀｰ!$J$7:$Q$56,7,0)="","",VLOOKUP(H25,名簿ﾏｽﾀｰ!$J$7:$Q$56,7,0))</f>
        <v/>
      </c>
      <c r="K25" s="102" t="str">
        <f>IF(I25="","",IF(J25=1,COUNTIF(入力ﾌｫｰﾑ!$U$3:$U$10,$H25)+COUNTIF(入力ﾌｫｰﾑ!$U$20:$U$27,$H25),IF(J25=2,"")))</f>
        <v/>
      </c>
      <c r="L25" s="102" t="str">
        <f t="shared" si="0"/>
        <v/>
      </c>
      <c r="N25" s="138">
        <v>6</v>
      </c>
      <c r="O25" s="138">
        <f t="shared" si="8"/>
        <v>1</v>
      </c>
      <c r="P25" s="138">
        <f t="shared" si="9"/>
        <v>4</v>
      </c>
      <c r="Q25" s="138" t="str">
        <f t="shared" si="4"/>
        <v/>
      </c>
      <c r="R25" s="138" t="str">
        <f t="shared" si="5"/>
        <v/>
      </c>
      <c r="S25" s="138" t="str">
        <f t="shared" si="6"/>
        <v/>
      </c>
      <c r="U25" s="93"/>
      <c r="V25" s="97"/>
      <c r="W25" s="143" t="str">
        <f t="shared" si="7"/>
        <v/>
      </c>
      <c r="X25" s="143" t="str">
        <f>IF($U25="","",(VLOOKUP($U25,名簿ﾏｽﾀｰ!$B$7:$Q$56,10,0)))</f>
        <v/>
      </c>
      <c r="Y25" s="143" t="str">
        <f>IF($U25="","",(VLOOKUP($U25,名簿ﾏｽﾀｰ!$B$7:$Q$56,2,0)))</f>
        <v/>
      </c>
      <c r="Z25" s="143" t="str">
        <f>IF($U25="","",(VLOOKUP($U25,名簿ﾏｽﾀｰ!$B$7:$Q$56,3,0)))</f>
        <v/>
      </c>
      <c r="AA25" s="143" t="str">
        <f>IF($U25="","",(VLOOKUP($U25,名簿ﾏｽﾀｰ!$B$7:$Q$56,4,0)))</f>
        <v/>
      </c>
      <c r="AB25" s="143" t="str">
        <f>IF($U25="","",(VLOOKUP($U25,名簿ﾏｽﾀｰ!$B$7:$Q$56,5,0)))</f>
        <v/>
      </c>
      <c r="AC25" s="143" t="str">
        <f>IF($U25="","",(VLOOKUP($U25,名簿ﾏｽﾀｰ!$B$7:$Q$56,12,0)))</f>
        <v/>
      </c>
      <c r="AD25" s="143" t="str">
        <f>IF($U25="","",(VLOOKUP($U25,名簿ﾏｽﾀｰ!$B$7:$Q$56,13,0)))</f>
        <v/>
      </c>
      <c r="AE25" s="143" t="str">
        <f>IF($U25="","",(VLOOKUP($U25,名簿ﾏｽﾀｰ!$B$7:$Q$56,14,0)))</f>
        <v/>
      </c>
      <c r="AF25" s="159"/>
    </row>
    <row r="26" spans="1:32" ht="15.75" customHeight="1" x14ac:dyDescent="0.15">
      <c r="A26" s="132">
        <f>VALUE(CONCATENATE($O$32,$P$32,2001))</f>
        <v>242001</v>
      </c>
      <c r="B26" s="153" t="s">
        <v>56</v>
      </c>
      <c r="C26" s="96"/>
      <c r="D26" s="154" t="str">
        <f>IF(C26="","",VLOOKUP($C26,$B$4:$E$7,2,0))</f>
        <v/>
      </c>
      <c r="E26" s="160" t="str">
        <f>IF($C26="","",IF(VLOOKUP($C26,メインシート!$E$13:$R$19,9,0)="","",VLOOKUP($C26,メインシート!$E$13:$R$19,9,0)))</f>
        <v/>
      </c>
      <c r="F26" s="160" t="str">
        <f>IF($C26="","",IF(VLOOKUP($C26,メインシート!$E$13:$R$19,10,0)="","",VLOOKUP($C26,メインシート!$E$13:$R$19,10,0)))</f>
        <v/>
      </c>
      <c r="H26" s="138">
        <v>25</v>
      </c>
      <c r="I26" s="138" t="str">
        <f>IF(VLOOKUP(H26,名簿ﾏｽﾀｰ!$J$7:$K$56,2,0)="","",VLOOKUP(H26,名簿ﾏｽﾀｰ!$J$7:$K$56,2,0))</f>
        <v/>
      </c>
      <c r="J26" s="102" t="str">
        <f>IF(VLOOKUP(H26,名簿ﾏｽﾀｰ!$J$7:$Q$56,7,0)="","",VLOOKUP(H26,名簿ﾏｽﾀｰ!$J$7:$Q$56,7,0))</f>
        <v/>
      </c>
      <c r="K26" s="102" t="str">
        <f>IF(I26="","",IF(J26=1,COUNTIF(入力ﾌｫｰﾑ!$U$3:$U$10,$H26)+COUNTIF(入力ﾌｫｰﾑ!$U$20:$U$27,$H26),IF(J26=2,"")))</f>
        <v/>
      </c>
      <c r="L26" s="102" t="str">
        <f t="shared" si="0"/>
        <v/>
      </c>
      <c r="N26" s="138">
        <v>7</v>
      </c>
      <c r="O26" s="138">
        <f t="shared" si="8"/>
        <v>1</v>
      </c>
      <c r="P26" s="138">
        <f t="shared" si="9"/>
        <v>4</v>
      </c>
      <c r="Q26" s="138" t="str">
        <f t="shared" si="4"/>
        <v/>
      </c>
      <c r="R26" s="138" t="str">
        <f t="shared" si="5"/>
        <v/>
      </c>
      <c r="S26" s="138" t="str">
        <f t="shared" si="6"/>
        <v/>
      </c>
      <c r="U26" s="93"/>
      <c r="V26" s="97"/>
      <c r="W26" s="143" t="str">
        <f t="shared" si="7"/>
        <v/>
      </c>
      <c r="X26" s="143" t="str">
        <f>IF($U26="","",(VLOOKUP($U26,名簿ﾏｽﾀｰ!$B$7:$Q$56,10,0)))</f>
        <v/>
      </c>
      <c r="Y26" s="143" t="str">
        <f>IF($U26="","",(VLOOKUP($U26,名簿ﾏｽﾀｰ!$B$7:$Q$56,2,0)))</f>
        <v/>
      </c>
      <c r="Z26" s="143" t="str">
        <f>IF($U26="","",(VLOOKUP($U26,名簿ﾏｽﾀｰ!$B$7:$Q$56,3,0)))</f>
        <v/>
      </c>
      <c r="AA26" s="143" t="str">
        <f>IF($U26="","",(VLOOKUP($U26,名簿ﾏｽﾀｰ!$B$7:$Q$56,4,0)))</f>
        <v/>
      </c>
      <c r="AB26" s="143" t="str">
        <f>IF($U26="","",(VLOOKUP($U26,名簿ﾏｽﾀｰ!$B$7:$Q$56,5,0)))</f>
        <v/>
      </c>
      <c r="AC26" s="143" t="str">
        <f>IF($U26="","",(VLOOKUP($U26,名簿ﾏｽﾀｰ!$B$7:$Q$56,12,0)))</f>
        <v/>
      </c>
      <c r="AD26" s="143" t="str">
        <f>IF($U26="","",(VLOOKUP($U26,名簿ﾏｽﾀｰ!$B$7:$Q$56,13,0)))</f>
        <v/>
      </c>
      <c r="AE26" s="143" t="str">
        <f>IF($U26="","",(VLOOKUP($U26,名簿ﾏｽﾀｰ!$B$7:$Q$56,14,0)))</f>
        <v/>
      </c>
      <c r="AF26" s="159"/>
    </row>
    <row r="27" spans="1:32" ht="15.75" customHeight="1" x14ac:dyDescent="0.15">
      <c r="A27" s="132">
        <f>VALUE(CONCATENATE($O$32,$P$32,2002))</f>
        <v>242002</v>
      </c>
      <c r="B27" s="153" t="s">
        <v>57</v>
      </c>
      <c r="C27" s="96"/>
      <c r="D27" s="154" t="str">
        <f>IF(C27="","",VLOOKUP($C27,$B$4:$E$7,2,0))</f>
        <v/>
      </c>
      <c r="H27" s="138">
        <v>26</v>
      </c>
      <c r="I27" s="138" t="str">
        <f>IF(VLOOKUP(H27,名簿ﾏｽﾀｰ!$J$7:$K$56,2,0)="","",VLOOKUP(H27,名簿ﾏｽﾀｰ!$J$7:$K$56,2,0))</f>
        <v/>
      </c>
      <c r="J27" s="102" t="str">
        <f>IF(VLOOKUP(H27,名簿ﾏｽﾀｰ!$J$7:$Q$56,7,0)="","",VLOOKUP(H27,名簿ﾏｽﾀｰ!$J$7:$Q$56,7,0))</f>
        <v/>
      </c>
      <c r="K27" s="102" t="str">
        <f>IF(I27="","",IF(J27=1,COUNTIF(入力ﾌｫｰﾑ!$U$3:$U$10,$H27)+COUNTIF(入力ﾌｫｰﾑ!$U$20:$U$27,$H27),IF(J27=2,"")))</f>
        <v/>
      </c>
      <c r="L27" s="102" t="str">
        <f t="shared" si="0"/>
        <v/>
      </c>
      <c r="N27" s="138">
        <v>8</v>
      </c>
      <c r="O27" s="138">
        <f t="shared" si="8"/>
        <v>1</v>
      </c>
      <c r="P27" s="138">
        <f t="shared" si="9"/>
        <v>4</v>
      </c>
      <c r="Q27" s="138" t="str">
        <f t="shared" si="4"/>
        <v/>
      </c>
      <c r="R27" s="138" t="str">
        <f t="shared" si="5"/>
        <v/>
      </c>
      <c r="S27" s="138" t="str">
        <f t="shared" si="6"/>
        <v/>
      </c>
      <c r="U27" s="93"/>
      <c r="V27" s="97"/>
      <c r="W27" s="143" t="str">
        <f t="shared" si="7"/>
        <v/>
      </c>
      <c r="X27" s="143" t="str">
        <f>IF($U27="","",(VLOOKUP($U27,名簿ﾏｽﾀｰ!$B$7:$Q$56,10,0)))</f>
        <v/>
      </c>
      <c r="Y27" s="143" t="str">
        <f>IF($U27="","",(VLOOKUP($U27,名簿ﾏｽﾀｰ!$B$7:$Q$56,2,0)))</f>
        <v/>
      </c>
      <c r="Z27" s="143" t="str">
        <f>IF($U27="","",(VLOOKUP($U27,名簿ﾏｽﾀｰ!$B$7:$Q$56,3,0)))</f>
        <v/>
      </c>
      <c r="AA27" s="143" t="str">
        <f>IF($U27="","",(VLOOKUP($U27,名簿ﾏｽﾀｰ!$B$7:$Q$56,4,0)))</f>
        <v/>
      </c>
      <c r="AB27" s="143" t="str">
        <f>IF($U27="","",(VLOOKUP($U27,名簿ﾏｽﾀｰ!$B$7:$Q$56,5,0)))</f>
        <v/>
      </c>
      <c r="AC27" s="143" t="str">
        <f>IF($U27="","",(VLOOKUP($U27,名簿ﾏｽﾀｰ!$B$7:$Q$56,12,0)))</f>
        <v/>
      </c>
      <c r="AD27" s="143" t="str">
        <f>IF($U27="","",(VLOOKUP($U27,名簿ﾏｽﾀｰ!$B$7:$Q$56,13,0)))</f>
        <v/>
      </c>
      <c r="AE27" s="143" t="str">
        <f>IF($U27="","",(VLOOKUP($U27,名簿ﾏｽﾀｰ!$B$7:$Q$56,14,0)))</f>
        <v/>
      </c>
      <c r="AF27" s="159"/>
    </row>
    <row r="28" spans="1:32" ht="15.75" customHeight="1" x14ac:dyDescent="0.15">
      <c r="B28" s="133"/>
      <c r="H28" s="138">
        <v>27</v>
      </c>
      <c r="I28" s="138" t="str">
        <f>IF(VLOOKUP(H28,名簿ﾏｽﾀｰ!$J$7:$K$56,2,0)="","",VLOOKUP(H28,名簿ﾏｽﾀｰ!$J$7:$K$56,2,0))</f>
        <v/>
      </c>
      <c r="J28" s="102" t="str">
        <f>IF(VLOOKUP(H28,名簿ﾏｽﾀｰ!$J$7:$Q$56,7,0)="","",VLOOKUP(H28,名簿ﾏｽﾀｰ!$J$7:$Q$56,7,0))</f>
        <v/>
      </c>
      <c r="K28" s="102" t="str">
        <f>IF(I28="","",IF(J28=1,COUNTIF(入力ﾌｫｰﾑ!$U$3:$U$10,$H28)+COUNTIF(入力ﾌｫｰﾑ!$U$20:$U$27,$H28),IF(J28=2,"")))</f>
        <v/>
      </c>
      <c r="L28" s="102" t="str">
        <f t="shared" si="0"/>
        <v/>
      </c>
      <c r="N28" s="138">
        <v>9</v>
      </c>
      <c r="O28" s="138">
        <f t="shared" si="8"/>
        <v>1</v>
      </c>
      <c r="P28" s="138">
        <f t="shared" si="9"/>
        <v>4</v>
      </c>
      <c r="Q28" s="138" t="e">
        <f>IF(#REF!="","",LEFT(#REF!,2))</f>
        <v>#REF!</v>
      </c>
      <c r="R28" s="138" t="e">
        <f>IF(#REF!="","",RIGHT(#REF!,1))</f>
        <v>#REF!</v>
      </c>
      <c r="S28" s="138" t="e">
        <f>IF(#REF!="","",VALUE(CONCATENATE(O28,P28,Q28,R28)))</f>
        <v>#REF!</v>
      </c>
      <c r="U28" s="134" t="s">
        <v>882</v>
      </c>
      <c r="V28" s="155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</row>
    <row r="29" spans="1:32" ht="15.75" customHeight="1" x14ac:dyDescent="0.15">
      <c r="B29" s="133"/>
      <c r="H29" s="138">
        <v>28</v>
      </c>
      <c r="I29" s="138" t="str">
        <f>IF(VLOOKUP(H29,名簿ﾏｽﾀｰ!$J$7:$K$56,2,0)="","",VLOOKUP(H29,名簿ﾏｽﾀｰ!$J$7:$K$56,2,0))</f>
        <v/>
      </c>
      <c r="J29" s="102" t="str">
        <f>IF(VLOOKUP(H29,名簿ﾏｽﾀｰ!$J$7:$Q$56,7,0)="","",VLOOKUP(H29,名簿ﾏｽﾀｰ!$J$7:$Q$56,7,0))</f>
        <v/>
      </c>
      <c r="K29" s="102" t="str">
        <f>IF(I29="","",IF(J29=1,COUNTIF(入力ﾌｫｰﾑ!$U$3:$U$10,$H29)+COUNTIF(入力ﾌｫｰﾑ!$U$20:$U$27,$H29),IF(J29=2,"")))</f>
        <v/>
      </c>
      <c r="L29" s="102" t="str">
        <f t="shared" si="0"/>
        <v/>
      </c>
      <c r="N29" s="138">
        <v>10</v>
      </c>
      <c r="O29" s="138">
        <f t="shared" si="8"/>
        <v>1</v>
      </c>
      <c r="P29" s="138">
        <f t="shared" si="9"/>
        <v>4</v>
      </c>
      <c r="Q29" s="138" t="e">
        <f>IF(#REF!="","",LEFT(#REF!,2))</f>
        <v>#REF!</v>
      </c>
      <c r="R29" s="138" t="e">
        <f>IF(#REF!="","",RIGHT(#REF!,1))</f>
        <v>#REF!</v>
      </c>
      <c r="S29" s="138" t="e">
        <f>IF(#REF!="","",VALUE(CONCATENATE(O29,P29,Q29,R29)))</f>
        <v>#REF!</v>
      </c>
      <c r="U29" s="142" t="s">
        <v>884</v>
      </c>
      <c r="V29" s="143" t="s">
        <v>850</v>
      </c>
      <c r="W29" s="144" t="s">
        <v>869</v>
      </c>
      <c r="X29" s="143" t="s">
        <v>870</v>
      </c>
      <c r="Y29" s="143" t="s">
        <v>37</v>
      </c>
      <c r="Z29" s="143" t="s">
        <v>874</v>
      </c>
      <c r="AA29" s="143" t="s">
        <v>875</v>
      </c>
      <c r="AB29" s="143" t="s">
        <v>876</v>
      </c>
      <c r="AC29" s="143" t="s">
        <v>11</v>
      </c>
      <c r="AD29" s="143" t="s">
        <v>36</v>
      </c>
      <c r="AE29" s="143" t="s">
        <v>849</v>
      </c>
      <c r="AF29" s="143" t="s">
        <v>881</v>
      </c>
    </row>
    <row r="30" spans="1:32" ht="15.75" customHeight="1" x14ac:dyDescent="0.15">
      <c r="B30" s="133"/>
      <c r="H30" s="138">
        <v>29</v>
      </c>
      <c r="I30" s="138" t="str">
        <f>IF(VLOOKUP(H30,名簿ﾏｽﾀｰ!$J$7:$K$56,2,0)="","",VLOOKUP(H30,名簿ﾏｽﾀｰ!$J$7:$K$56,2,0))</f>
        <v/>
      </c>
      <c r="J30" s="102" t="str">
        <f>IF(VLOOKUP(H30,名簿ﾏｽﾀｰ!$J$7:$Q$56,7,0)="","",VLOOKUP(H30,名簿ﾏｽﾀｰ!$J$7:$Q$56,7,0))</f>
        <v/>
      </c>
      <c r="K30" s="102" t="str">
        <f>IF(I30="","",IF(J30=1,COUNTIF(入力ﾌｫｰﾑ!$U$3:$U$10,$H30)+COUNTIF(入力ﾌｫｰﾑ!$U$20:$U$27,$H30),IF(J30=2,"")))</f>
        <v/>
      </c>
      <c r="L30" s="102" t="str">
        <f t="shared" si="0"/>
        <v/>
      </c>
      <c r="U30" s="93"/>
      <c r="V30" s="97"/>
      <c r="W30" s="143" t="str">
        <f t="shared" ref="W30:W37" si="10">IF(U30="","",S32)</f>
        <v/>
      </c>
      <c r="X30" s="143" t="str">
        <f>IF($U30="","",(VLOOKUP($U30,名簿ﾏｽﾀｰ!$B$7:$Q$56,10,0)))</f>
        <v/>
      </c>
      <c r="Y30" s="143" t="str">
        <f>IF($U30="","",(VLOOKUP($U30,名簿ﾏｽﾀｰ!$B$7:$Q$56,2,0)))</f>
        <v/>
      </c>
      <c r="Z30" s="143" t="str">
        <f>IF($U30="","",(VLOOKUP($U30,名簿ﾏｽﾀｰ!$B$7:$Q$56,3,0)))</f>
        <v/>
      </c>
      <c r="AA30" s="143" t="str">
        <f>IF($U30="","",(VLOOKUP($U30,名簿ﾏｽﾀｰ!$B$7:$Q$56,4,0)))</f>
        <v/>
      </c>
      <c r="AB30" s="143" t="str">
        <f>IF($U30="","",(VLOOKUP($U30,名簿ﾏｽﾀｰ!$B$7:$Q$56,5,0)))</f>
        <v/>
      </c>
      <c r="AC30" s="143" t="str">
        <f>IF($U30="","",(VLOOKUP($U30,名簿ﾏｽﾀｰ!$B$7:$Q$56,12,0)))</f>
        <v/>
      </c>
      <c r="AD30" s="143" t="str">
        <f>IF($U30="","",(VLOOKUP($U30,名簿ﾏｽﾀｰ!$B$7:$Q$56,13,0)))</f>
        <v/>
      </c>
      <c r="AE30" s="143" t="str">
        <f>IF($U30="","",(VLOOKUP($U30,名簿ﾏｽﾀｰ!$B$7:$Q$56,14,0)))</f>
        <v/>
      </c>
      <c r="AF30" s="159"/>
    </row>
    <row r="31" spans="1:32" ht="15.75" customHeight="1" x14ac:dyDescent="0.15">
      <c r="B31" s="133"/>
      <c r="H31" s="138">
        <v>30</v>
      </c>
      <c r="I31" s="138" t="str">
        <f>IF(VLOOKUP(H31,名簿ﾏｽﾀｰ!$J$7:$K$56,2,0)="","",VLOOKUP(H31,名簿ﾏｽﾀｰ!$J$7:$K$56,2,0))</f>
        <v/>
      </c>
      <c r="J31" s="102" t="str">
        <f>IF(VLOOKUP(H31,名簿ﾏｽﾀｰ!$J$7:$Q$56,7,0)="","",VLOOKUP(H31,名簿ﾏｽﾀｰ!$J$7:$Q$56,7,0))</f>
        <v/>
      </c>
      <c r="K31" s="102" t="str">
        <f>IF(I31="","",IF(J31=1,COUNTIF(入力ﾌｫｰﾑ!$U$3:$U$10,$H31)+COUNTIF(入力ﾌｫｰﾑ!$U$20:$U$27,$H31),IF(J31=2,"")))</f>
        <v/>
      </c>
      <c r="L31" s="102" t="str">
        <f t="shared" si="0"/>
        <v/>
      </c>
      <c r="N31" s="140" t="s">
        <v>1104</v>
      </c>
      <c r="O31" s="140" t="s">
        <v>1099</v>
      </c>
      <c r="P31" s="140" t="s">
        <v>1100</v>
      </c>
      <c r="Q31" s="140" t="s">
        <v>1101</v>
      </c>
      <c r="R31" s="140" t="s">
        <v>1102</v>
      </c>
      <c r="S31" s="140" t="s">
        <v>1105</v>
      </c>
      <c r="U31" s="93"/>
      <c r="V31" s="97"/>
      <c r="W31" s="143" t="str">
        <f t="shared" si="10"/>
        <v/>
      </c>
      <c r="X31" s="143" t="str">
        <f>IF($U31="","",(VLOOKUP($U31,名簿ﾏｽﾀｰ!$B$7:$Q$56,10,0)))</f>
        <v/>
      </c>
      <c r="Y31" s="143" t="str">
        <f>IF($U31="","",(VLOOKUP($U31,名簿ﾏｽﾀｰ!$B$7:$Q$56,2,0)))</f>
        <v/>
      </c>
      <c r="Z31" s="143" t="str">
        <f>IF($U31="","",(VLOOKUP($U31,名簿ﾏｽﾀｰ!$B$7:$Q$56,3,0)))</f>
        <v/>
      </c>
      <c r="AA31" s="143" t="str">
        <f>IF($U31="","",(VLOOKUP($U31,名簿ﾏｽﾀｰ!$B$7:$Q$56,4,0)))</f>
        <v/>
      </c>
      <c r="AB31" s="143" t="str">
        <f>IF($U31="","",(VLOOKUP($U31,名簿ﾏｽﾀｰ!$B$7:$Q$56,5,0)))</f>
        <v/>
      </c>
      <c r="AC31" s="143" t="str">
        <f>IF($U31="","",(VLOOKUP($U31,名簿ﾏｽﾀｰ!$B$7:$Q$56,12,0)))</f>
        <v/>
      </c>
      <c r="AD31" s="143" t="str">
        <f>IF($U31="","",(VLOOKUP($U31,名簿ﾏｽﾀｰ!$B$7:$Q$56,13,0)))</f>
        <v/>
      </c>
      <c r="AE31" s="143" t="str">
        <f>IF($U31="","",(VLOOKUP($U31,名簿ﾏｽﾀｰ!$B$7:$Q$56,14,0)))</f>
        <v/>
      </c>
      <c r="AF31" s="159"/>
    </row>
    <row r="32" spans="1:32" ht="15.75" customHeight="1" x14ac:dyDescent="0.15">
      <c r="B32" s="133"/>
      <c r="C32" s="134" t="s">
        <v>880</v>
      </c>
      <c r="H32" s="138">
        <v>31</v>
      </c>
      <c r="I32" s="138" t="str">
        <f>IF(VLOOKUP(H32,名簿ﾏｽﾀｰ!$J$7:$K$56,2,0)="","",VLOOKUP(H32,名簿ﾏｽﾀｰ!$J$7:$K$56,2,0))</f>
        <v/>
      </c>
      <c r="J32" s="102" t="str">
        <f>IF(VLOOKUP(H32,名簿ﾏｽﾀｰ!$J$7:$Q$56,7,0)="","",VLOOKUP(H32,名簿ﾏｽﾀｰ!$J$7:$Q$56,7,0))</f>
        <v/>
      </c>
      <c r="K32" s="102" t="str">
        <f>IF(I32="","",IF(J32=1,COUNTIF(入力ﾌｫｰﾑ!$U$3:$U$10,$H32)+COUNTIF(入力ﾌｫｰﾑ!$U$20:$U$27,$H32),IF(J32=2,"")))</f>
        <v/>
      </c>
      <c r="L32" s="102" t="str">
        <f t="shared" si="0"/>
        <v/>
      </c>
      <c r="N32" s="138">
        <v>1</v>
      </c>
      <c r="O32" s="147">
        <v>2</v>
      </c>
      <c r="P32" s="147">
        <f>メインシート!$C$8</f>
        <v>4</v>
      </c>
      <c r="Q32" s="147" t="str">
        <f t="shared" ref="Q32:Q39" si="11">IF($U30="","",LEFT($V30,2))</f>
        <v/>
      </c>
      <c r="R32" s="147" t="str">
        <f t="shared" ref="R32:R39" si="12">IF($U30="","",RIGHT($V30,1))</f>
        <v/>
      </c>
      <c r="S32" s="147" t="str">
        <f t="shared" ref="S32:S39" si="13">IF(U30="","",VALUE(CONCATENATE(O32,P32,Q32,R32)))</f>
        <v/>
      </c>
      <c r="U32" s="93"/>
      <c r="V32" s="97"/>
      <c r="W32" s="143" t="str">
        <f t="shared" si="10"/>
        <v/>
      </c>
      <c r="X32" s="143" t="str">
        <f>IF($U32="","",(VLOOKUP($U32,名簿ﾏｽﾀｰ!$B$7:$Q$56,10,0)))</f>
        <v/>
      </c>
      <c r="Y32" s="143" t="str">
        <f>IF($U32="","",(VLOOKUP($U32,名簿ﾏｽﾀｰ!$B$7:$Q$56,2,0)))</f>
        <v/>
      </c>
      <c r="Z32" s="143" t="str">
        <f>IF($U32="","",(VLOOKUP($U32,名簿ﾏｽﾀｰ!$B$7:$Q$56,3,0)))</f>
        <v/>
      </c>
      <c r="AA32" s="143" t="str">
        <f>IF($U32="","",(VLOOKUP($U32,名簿ﾏｽﾀｰ!$B$7:$Q$56,4,0)))</f>
        <v/>
      </c>
      <c r="AB32" s="143" t="str">
        <f>IF($U32="","",(VLOOKUP($U32,名簿ﾏｽﾀｰ!$B$7:$Q$56,5,0)))</f>
        <v/>
      </c>
      <c r="AC32" s="143" t="str">
        <f>IF($U32="","",(VLOOKUP($U32,名簿ﾏｽﾀｰ!$B$7:$Q$56,12,0)))</f>
        <v/>
      </c>
      <c r="AD32" s="143" t="str">
        <f>IF($U32="","",(VLOOKUP($U32,名簿ﾏｽﾀｰ!$B$7:$Q$56,13,0)))</f>
        <v/>
      </c>
      <c r="AE32" s="143" t="str">
        <f>IF($U32="","",(VLOOKUP($U32,名簿ﾏｽﾀｰ!$B$7:$Q$56,14,0)))</f>
        <v/>
      </c>
      <c r="AF32" s="159"/>
    </row>
    <row r="33" spans="2:32" ht="15.75" customHeight="1" x14ac:dyDescent="0.15">
      <c r="C33" s="142" t="s">
        <v>2642</v>
      </c>
      <c r="D33" s="143" t="s">
        <v>850</v>
      </c>
      <c r="H33" s="138">
        <v>32</v>
      </c>
      <c r="I33" s="138" t="str">
        <f>IF(VLOOKUP(H33,名簿ﾏｽﾀｰ!$J$7:$K$56,2,0)="","",VLOOKUP(H33,名簿ﾏｽﾀｰ!$J$7:$K$56,2,0))</f>
        <v/>
      </c>
      <c r="J33" s="102" t="str">
        <f>IF(VLOOKUP(H33,名簿ﾏｽﾀｰ!$J$7:$Q$56,7,0)="","",VLOOKUP(H33,名簿ﾏｽﾀｰ!$J$7:$Q$56,7,0))</f>
        <v/>
      </c>
      <c r="K33" s="102" t="str">
        <f>IF(I33="","",IF(J33=1,COUNTIF(入力ﾌｫｰﾑ!$U$3:$U$10,$H33)+COUNTIF(入力ﾌｫｰﾑ!$U$20:$U$27,$H33),IF(J33=2,"")))</f>
        <v/>
      </c>
      <c r="L33" s="102" t="str">
        <f t="shared" si="0"/>
        <v/>
      </c>
      <c r="N33" s="138">
        <v>2</v>
      </c>
      <c r="O33" s="138">
        <f t="shared" ref="O33:O41" si="14">O32</f>
        <v>2</v>
      </c>
      <c r="P33" s="138">
        <f t="shared" ref="P33:P41" si="15">P32</f>
        <v>4</v>
      </c>
      <c r="Q33" s="138" t="str">
        <f t="shared" si="11"/>
        <v/>
      </c>
      <c r="R33" s="138" t="str">
        <f t="shared" si="12"/>
        <v/>
      </c>
      <c r="S33" s="138" t="str">
        <f t="shared" si="13"/>
        <v/>
      </c>
      <c r="U33" s="93"/>
      <c r="V33" s="97"/>
      <c r="W33" s="143" t="str">
        <f t="shared" si="10"/>
        <v/>
      </c>
      <c r="X33" s="143" t="str">
        <f>IF($U33="","",(VLOOKUP($U33,名簿ﾏｽﾀｰ!$B$7:$Q$56,10,0)))</f>
        <v/>
      </c>
      <c r="Y33" s="143" t="str">
        <f>IF($U33="","",(VLOOKUP($U33,名簿ﾏｽﾀｰ!$B$7:$Q$56,2,0)))</f>
        <v/>
      </c>
      <c r="Z33" s="143" t="str">
        <f>IF($U33="","",(VLOOKUP($U33,名簿ﾏｽﾀｰ!$B$7:$Q$56,3,0)))</f>
        <v/>
      </c>
      <c r="AA33" s="143" t="str">
        <f>IF($U33="","",(VLOOKUP($U33,名簿ﾏｽﾀｰ!$B$7:$Q$56,4,0)))</f>
        <v/>
      </c>
      <c r="AB33" s="143" t="str">
        <f>IF($U33="","",(VLOOKUP($U33,名簿ﾏｽﾀｰ!$B$7:$Q$56,5,0)))</f>
        <v/>
      </c>
      <c r="AC33" s="143" t="str">
        <f>IF($U33="","",(VLOOKUP($U33,名簿ﾏｽﾀｰ!$B$7:$Q$56,12,0)))</f>
        <v/>
      </c>
      <c r="AD33" s="143" t="str">
        <f>IF($U33="","",(VLOOKUP($U33,名簿ﾏｽﾀｰ!$B$7:$Q$56,13,0)))</f>
        <v/>
      </c>
      <c r="AE33" s="143" t="str">
        <f>IF($U33="","",(VLOOKUP($U33,名簿ﾏｽﾀｰ!$B$7:$Q$56,14,0)))</f>
        <v/>
      </c>
      <c r="AF33" s="159"/>
    </row>
    <row r="34" spans="2:32" ht="15.75" customHeight="1" x14ac:dyDescent="0.15">
      <c r="C34" s="93">
        <v>1</v>
      </c>
      <c r="D34" s="97">
        <v>731</v>
      </c>
      <c r="H34" s="138">
        <v>33</v>
      </c>
      <c r="I34" s="138" t="str">
        <f>IF(VLOOKUP(H34,名簿ﾏｽﾀｰ!$J$7:$K$56,2,0)="","",VLOOKUP(H34,名簿ﾏｽﾀｰ!$J$7:$K$56,2,0))</f>
        <v/>
      </c>
      <c r="J34" s="102" t="str">
        <f>IF(VLOOKUP(H34,名簿ﾏｽﾀｰ!$J$7:$Q$56,7,0)="","",VLOOKUP(H34,名簿ﾏｽﾀｰ!$J$7:$Q$56,7,0))</f>
        <v/>
      </c>
      <c r="K34" s="102" t="str">
        <f>IF(I34="","",IF(J34=1,COUNTIF(入力ﾌｫｰﾑ!$U$3:$U$10,$H34)+COUNTIF(入力ﾌｫｰﾑ!$U$20:$U$27,$H34),IF(J34=2,"")))</f>
        <v/>
      </c>
      <c r="L34" s="102" t="str">
        <f t="shared" ref="L34:L51" si="16">IF(I34="","",IF(J34=2,COUNTIF($U$13:$U$17,$H34)+COUNTIF($U$30:$U$37,$H34),IF(J34=1,"")))</f>
        <v/>
      </c>
      <c r="N34" s="138">
        <v>3</v>
      </c>
      <c r="O34" s="138">
        <f t="shared" si="14"/>
        <v>2</v>
      </c>
      <c r="P34" s="138">
        <f t="shared" si="15"/>
        <v>4</v>
      </c>
      <c r="Q34" s="138" t="str">
        <f t="shared" si="11"/>
        <v/>
      </c>
      <c r="R34" s="138" t="str">
        <f t="shared" si="12"/>
        <v/>
      </c>
      <c r="S34" s="138" t="str">
        <f t="shared" si="13"/>
        <v/>
      </c>
      <c r="U34" s="93"/>
      <c r="V34" s="97"/>
      <c r="W34" s="143" t="str">
        <f t="shared" si="10"/>
        <v/>
      </c>
      <c r="X34" s="143" t="str">
        <f>IF($U34="","",(VLOOKUP($U34,名簿ﾏｽﾀｰ!$B$7:$Q$56,10,0)))</f>
        <v/>
      </c>
      <c r="Y34" s="143" t="str">
        <f>IF($U34="","",(VLOOKUP($U34,名簿ﾏｽﾀｰ!$B$7:$Q$56,2,0)))</f>
        <v/>
      </c>
      <c r="Z34" s="143" t="str">
        <f>IF($U34="","",(VLOOKUP($U34,名簿ﾏｽﾀｰ!$B$7:$Q$56,3,0)))</f>
        <v/>
      </c>
      <c r="AA34" s="143" t="str">
        <f>IF($U34="","",(VLOOKUP($U34,名簿ﾏｽﾀｰ!$B$7:$Q$56,4,0)))</f>
        <v/>
      </c>
      <c r="AB34" s="143" t="str">
        <f>IF($U34="","",(VLOOKUP($U34,名簿ﾏｽﾀｰ!$B$7:$Q$56,5,0)))</f>
        <v/>
      </c>
      <c r="AC34" s="143" t="str">
        <f>IF($U34="","",(VLOOKUP($U34,名簿ﾏｽﾀｰ!$B$7:$Q$56,12,0)))</f>
        <v/>
      </c>
      <c r="AD34" s="143" t="str">
        <f>IF($U34="","",(VLOOKUP($U34,名簿ﾏｽﾀｰ!$B$7:$Q$56,13,0)))</f>
        <v/>
      </c>
      <c r="AE34" s="143" t="str">
        <f>IF($U34="","",(VLOOKUP($U34,名簿ﾏｽﾀｰ!$B$7:$Q$56,14,0)))</f>
        <v/>
      </c>
      <c r="AF34" s="159"/>
    </row>
    <row r="35" spans="2:32" ht="15.75" customHeight="1" x14ac:dyDescent="0.15">
      <c r="C35" s="93"/>
      <c r="D35" s="97"/>
      <c r="H35" s="138">
        <v>34</v>
      </c>
      <c r="I35" s="138" t="str">
        <f>IF(VLOOKUP(H35,名簿ﾏｽﾀｰ!$J$7:$K$56,2,0)="","",VLOOKUP(H35,名簿ﾏｽﾀｰ!$J$7:$K$56,2,0))</f>
        <v/>
      </c>
      <c r="J35" s="102" t="str">
        <f>IF(VLOOKUP(H35,名簿ﾏｽﾀｰ!$J$7:$Q$56,7,0)="","",VLOOKUP(H35,名簿ﾏｽﾀｰ!$J$7:$Q$56,7,0))</f>
        <v/>
      </c>
      <c r="K35" s="102" t="str">
        <f>IF(I35="","",IF(J35=1,COUNTIF(入力ﾌｫｰﾑ!$U$3:$U$10,$H35)+COUNTIF(入力ﾌｫｰﾑ!$U$20:$U$27,$H35),IF(J35=2,"")))</f>
        <v/>
      </c>
      <c r="L35" s="102" t="str">
        <f t="shared" si="16"/>
        <v/>
      </c>
      <c r="N35" s="138">
        <v>4</v>
      </c>
      <c r="O35" s="138">
        <f t="shared" si="14"/>
        <v>2</v>
      </c>
      <c r="P35" s="138">
        <f t="shared" si="15"/>
        <v>4</v>
      </c>
      <c r="Q35" s="138" t="str">
        <f t="shared" si="11"/>
        <v/>
      </c>
      <c r="R35" s="138" t="str">
        <f t="shared" si="12"/>
        <v/>
      </c>
      <c r="S35" s="138" t="str">
        <f t="shared" si="13"/>
        <v/>
      </c>
      <c r="U35" s="93"/>
      <c r="V35" s="97"/>
      <c r="W35" s="143" t="str">
        <f t="shared" si="10"/>
        <v/>
      </c>
      <c r="X35" s="143" t="str">
        <f>IF($U35="","",(VLOOKUP($U35,名簿ﾏｽﾀｰ!$B$7:$Q$56,10,0)))</f>
        <v/>
      </c>
      <c r="Y35" s="143" t="str">
        <f>IF($U35="","",(VLOOKUP($U35,名簿ﾏｽﾀｰ!$B$7:$Q$56,2,0)))</f>
        <v/>
      </c>
      <c r="Z35" s="143" t="str">
        <f>IF($U35="","",(VLOOKUP($U35,名簿ﾏｽﾀｰ!$B$7:$Q$56,3,0)))</f>
        <v/>
      </c>
      <c r="AA35" s="143" t="str">
        <f>IF($U35="","",(VLOOKUP($U35,名簿ﾏｽﾀｰ!$B$7:$Q$56,4,0)))</f>
        <v/>
      </c>
      <c r="AB35" s="143" t="str">
        <f>IF($U35="","",(VLOOKUP($U35,名簿ﾏｽﾀｰ!$B$7:$Q$56,5,0)))</f>
        <v/>
      </c>
      <c r="AC35" s="143" t="str">
        <f>IF($U35="","",(VLOOKUP($U35,名簿ﾏｽﾀｰ!$B$7:$Q$56,12,0)))</f>
        <v/>
      </c>
      <c r="AD35" s="143" t="str">
        <f>IF($U35="","",(VLOOKUP($U35,名簿ﾏｽﾀｰ!$B$7:$Q$56,13,0)))</f>
        <v/>
      </c>
      <c r="AE35" s="143" t="str">
        <f>IF($U35="","",(VLOOKUP($U35,名簿ﾏｽﾀｰ!$B$7:$Q$56,14,0)))</f>
        <v/>
      </c>
      <c r="AF35" s="159"/>
    </row>
    <row r="36" spans="2:32" ht="15.75" customHeight="1" x14ac:dyDescent="0.15">
      <c r="B36" s="133"/>
      <c r="C36" s="93"/>
      <c r="D36" s="97"/>
      <c r="H36" s="138">
        <v>35</v>
      </c>
      <c r="I36" s="138" t="str">
        <f>IF(VLOOKUP(H36,名簿ﾏｽﾀｰ!$J$7:$K$56,2,0)="","",VLOOKUP(H36,名簿ﾏｽﾀｰ!$J$7:$K$56,2,0))</f>
        <v/>
      </c>
      <c r="J36" s="102" t="str">
        <f>IF(VLOOKUP(H36,名簿ﾏｽﾀｰ!$J$7:$Q$56,7,0)="","",VLOOKUP(H36,名簿ﾏｽﾀｰ!$J$7:$Q$56,7,0))</f>
        <v/>
      </c>
      <c r="K36" s="102" t="str">
        <f>IF(I36="","",IF(J36=1,COUNTIF(入力ﾌｫｰﾑ!$U$3:$U$10,$H36)+COUNTIF(入力ﾌｫｰﾑ!$U$20:$U$27,$H36),IF(J36=2,"")))</f>
        <v/>
      </c>
      <c r="L36" s="102" t="str">
        <f t="shared" si="16"/>
        <v/>
      </c>
      <c r="N36" s="138">
        <v>5</v>
      </c>
      <c r="O36" s="138">
        <f t="shared" si="14"/>
        <v>2</v>
      </c>
      <c r="P36" s="138">
        <f t="shared" si="15"/>
        <v>4</v>
      </c>
      <c r="Q36" s="138" t="str">
        <f t="shared" si="11"/>
        <v/>
      </c>
      <c r="R36" s="138" t="str">
        <f t="shared" si="12"/>
        <v/>
      </c>
      <c r="S36" s="138" t="str">
        <f t="shared" si="13"/>
        <v/>
      </c>
      <c r="U36" s="93"/>
      <c r="V36" s="97"/>
      <c r="W36" s="143" t="str">
        <f t="shared" si="10"/>
        <v/>
      </c>
      <c r="X36" s="143" t="str">
        <f>IF($U36="","",(VLOOKUP($U36,名簿ﾏｽﾀｰ!$B$7:$Q$56,10,0)))</f>
        <v/>
      </c>
      <c r="Y36" s="143" t="str">
        <f>IF($U36="","",(VLOOKUP($U36,名簿ﾏｽﾀｰ!$B$7:$Q$56,2,0)))</f>
        <v/>
      </c>
      <c r="Z36" s="143" t="str">
        <f>IF($U36="","",(VLOOKUP($U36,名簿ﾏｽﾀｰ!$B$7:$Q$56,3,0)))</f>
        <v/>
      </c>
      <c r="AA36" s="143" t="str">
        <f>IF($U36="","",(VLOOKUP($U36,名簿ﾏｽﾀｰ!$B$7:$Q$56,4,0)))</f>
        <v/>
      </c>
      <c r="AB36" s="143" t="str">
        <f>IF($U36="","",(VLOOKUP($U36,名簿ﾏｽﾀｰ!$B$7:$Q$56,5,0)))</f>
        <v/>
      </c>
      <c r="AC36" s="143" t="str">
        <f>IF($U36="","",(VLOOKUP($U36,名簿ﾏｽﾀｰ!$B$7:$Q$56,12,0)))</f>
        <v/>
      </c>
      <c r="AD36" s="143" t="str">
        <f>IF($U36="","",(VLOOKUP($U36,名簿ﾏｽﾀｰ!$B$7:$Q$56,13,0)))</f>
        <v/>
      </c>
      <c r="AE36" s="143" t="str">
        <f>IF($U36="","",(VLOOKUP($U36,名簿ﾏｽﾀｰ!$B$7:$Q$56,14,0)))</f>
        <v/>
      </c>
      <c r="AF36" s="159"/>
    </row>
    <row r="37" spans="2:32" ht="15.75" customHeight="1" x14ac:dyDescent="0.15">
      <c r="B37" s="133"/>
      <c r="H37" s="138">
        <v>36</v>
      </c>
      <c r="I37" s="138" t="str">
        <f>IF(VLOOKUP(H37,名簿ﾏｽﾀｰ!$J$7:$K$56,2,0)="","",VLOOKUP(H37,名簿ﾏｽﾀｰ!$J$7:$K$56,2,0))</f>
        <v/>
      </c>
      <c r="J37" s="102" t="str">
        <f>IF(VLOOKUP(H37,名簿ﾏｽﾀｰ!$J$7:$Q$56,7,0)="","",VLOOKUP(H37,名簿ﾏｽﾀｰ!$J$7:$Q$56,7,0))</f>
        <v/>
      </c>
      <c r="K37" s="102" t="str">
        <f>IF(I37="","",IF(J37=1,COUNTIF(入力ﾌｫｰﾑ!$U$3:$U$10,$H37)+COUNTIF(入力ﾌｫｰﾑ!$U$20:$U$27,$H37),IF(J37=2,"")))</f>
        <v/>
      </c>
      <c r="L37" s="102" t="str">
        <f t="shared" si="16"/>
        <v/>
      </c>
      <c r="N37" s="138">
        <v>6</v>
      </c>
      <c r="O37" s="138">
        <f t="shared" si="14"/>
        <v>2</v>
      </c>
      <c r="P37" s="138">
        <f t="shared" si="15"/>
        <v>4</v>
      </c>
      <c r="Q37" s="138" t="str">
        <f t="shared" si="11"/>
        <v/>
      </c>
      <c r="R37" s="138" t="str">
        <f t="shared" si="12"/>
        <v/>
      </c>
      <c r="S37" s="138" t="str">
        <f t="shared" si="13"/>
        <v/>
      </c>
      <c r="U37" s="93"/>
      <c r="V37" s="97"/>
      <c r="W37" s="143" t="str">
        <f t="shared" si="10"/>
        <v/>
      </c>
      <c r="X37" s="143" t="str">
        <f>IF($U37="","",(VLOOKUP($U37,名簿ﾏｽﾀｰ!$B$7:$Q$56,10,0)))</f>
        <v/>
      </c>
      <c r="Y37" s="143" t="str">
        <f>IF($U37="","",(VLOOKUP($U37,名簿ﾏｽﾀｰ!$B$7:$Q$56,2,0)))</f>
        <v/>
      </c>
      <c r="Z37" s="143" t="str">
        <f>IF($U37="","",(VLOOKUP($U37,名簿ﾏｽﾀｰ!$B$7:$Q$56,3,0)))</f>
        <v/>
      </c>
      <c r="AA37" s="143" t="str">
        <f>IF($U37="","",(VLOOKUP($U37,名簿ﾏｽﾀｰ!$B$7:$Q$56,4,0)))</f>
        <v/>
      </c>
      <c r="AB37" s="143" t="str">
        <f>IF($U37="","",(VLOOKUP($U37,名簿ﾏｽﾀｰ!$B$7:$Q$56,5,0)))</f>
        <v/>
      </c>
      <c r="AC37" s="143" t="str">
        <f>IF($U37="","",(VLOOKUP($U37,名簿ﾏｽﾀｰ!$B$7:$Q$56,12,0)))</f>
        <v/>
      </c>
      <c r="AD37" s="143" t="str">
        <f>IF($U37="","",(VLOOKUP($U37,名簿ﾏｽﾀｰ!$B$7:$Q$56,13,0)))</f>
        <v/>
      </c>
      <c r="AE37" s="143" t="str">
        <f>IF($U37="","",(VLOOKUP($U37,名簿ﾏｽﾀｰ!$B$7:$Q$56,14,0)))</f>
        <v/>
      </c>
      <c r="AF37" s="159"/>
    </row>
    <row r="38" spans="2:32" ht="15.75" customHeight="1" x14ac:dyDescent="0.15">
      <c r="B38" s="133"/>
      <c r="H38" s="138">
        <v>37</v>
      </c>
      <c r="I38" s="138" t="str">
        <f>IF(VLOOKUP(H38,名簿ﾏｽﾀｰ!$J$7:$K$56,2,0)="","",VLOOKUP(H38,名簿ﾏｽﾀｰ!$J$7:$K$56,2,0))</f>
        <v/>
      </c>
      <c r="J38" s="102" t="str">
        <f>IF(VLOOKUP(H38,名簿ﾏｽﾀｰ!$J$7:$Q$56,7,0)="","",VLOOKUP(H38,名簿ﾏｽﾀｰ!$J$7:$Q$56,7,0))</f>
        <v/>
      </c>
      <c r="K38" s="102" t="str">
        <f>IF(I38="","",IF(J38=1,COUNTIF(入力ﾌｫｰﾑ!$U$3:$U$10,$H38)+COUNTIF(入力ﾌｫｰﾑ!$U$20:$U$27,$H38),IF(J38=2,"")))</f>
        <v/>
      </c>
      <c r="L38" s="102" t="str">
        <f t="shared" si="16"/>
        <v/>
      </c>
      <c r="N38" s="138">
        <v>7</v>
      </c>
      <c r="O38" s="138">
        <f t="shared" si="14"/>
        <v>2</v>
      </c>
      <c r="P38" s="138">
        <f t="shared" si="15"/>
        <v>4</v>
      </c>
      <c r="Q38" s="138" t="str">
        <f t="shared" si="11"/>
        <v/>
      </c>
      <c r="R38" s="138" t="str">
        <f t="shared" si="12"/>
        <v/>
      </c>
      <c r="S38" s="138" t="str">
        <f t="shared" si="13"/>
        <v/>
      </c>
    </row>
    <row r="39" spans="2:32" ht="15.75" customHeight="1" x14ac:dyDescent="0.15">
      <c r="H39" s="138">
        <v>38</v>
      </c>
      <c r="I39" s="138" t="str">
        <f>IF(VLOOKUP(H39,名簿ﾏｽﾀｰ!$J$7:$K$56,2,0)="","",VLOOKUP(H39,名簿ﾏｽﾀｰ!$J$7:$K$56,2,0))</f>
        <v/>
      </c>
      <c r="J39" s="102" t="str">
        <f>IF(VLOOKUP(H39,名簿ﾏｽﾀｰ!$J$7:$Q$56,7,0)="","",VLOOKUP(H39,名簿ﾏｽﾀｰ!$J$7:$Q$56,7,0))</f>
        <v/>
      </c>
      <c r="K39" s="102" t="str">
        <f>IF(I39="","",IF(J39=1,COUNTIF(入力ﾌｫｰﾑ!$U$3:$U$10,$H39)+COUNTIF(入力ﾌｫｰﾑ!$U$20:$U$27,$H39),IF(J39=2,"")))</f>
        <v/>
      </c>
      <c r="L39" s="102" t="str">
        <f t="shared" si="16"/>
        <v/>
      </c>
      <c r="N39" s="138">
        <v>8</v>
      </c>
      <c r="O39" s="138">
        <f t="shared" si="14"/>
        <v>2</v>
      </c>
      <c r="P39" s="138">
        <f t="shared" si="15"/>
        <v>4</v>
      </c>
      <c r="Q39" s="138" t="str">
        <f t="shared" si="11"/>
        <v/>
      </c>
      <c r="R39" s="138" t="str">
        <f t="shared" si="12"/>
        <v/>
      </c>
      <c r="S39" s="138" t="str">
        <f t="shared" si="13"/>
        <v/>
      </c>
    </row>
    <row r="40" spans="2:32" ht="15.75" customHeight="1" x14ac:dyDescent="0.15">
      <c r="H40" s="138">
        <v>39</v>
      </c>
      <c r="I40" s="138" t="str">
        <f>IF(VLOOKUP(H40,名簿ﾏｽﾀｰ!$J$7:$K$56,2,0)="","",VLOOKUP(H40,名簿ﾏｽﾀｰ!$J$7:$K$56,2,0))</f>
        <v/>
      </c>
      <c r="J40" s="102" t="str">
        <f>IF(VLOOKUP(H40,名簿ﾏｽﾀｰ!$J$7:$Q$56,7,0)="","",VLOOKUP(H40,名簿ﾏｽﾀｰ!$J$7:$Q$56,7,0))</f>
        <v/>
      </c>
      <c r="K40" s="102" t="str">
        <f>IF(I40="","",IF(J40=1,COUNTIF(入力ﾌｫｰﾑ!$U$3:$U$10,$H40)+COUNTIF(入力ﾌｫｰﾑ!$U$20:$U$27,$H40),IF(J40=2,"")))</f>
        <v/>
      </c>
      <c r="L40" s="102" t="str">
        <f t="shared" si="16"/>
        <v/>
      </c>
      <c r="N40" s="138">
        <v>9</v>
      </c>
      <c r="O40" s="138">
        <f t="shared" si="14"/>
        <v>2</v>
      </c>
      <c r="P40" s="138">
        <f t="shared" si="15"/>
        <v>4</v>
      </c>
      <c r="Q40" s="138" t="e">
        <f>IF(#REF!="","",LEFT(#REF!,2))</f>
        <v>#REF!</v>
      </c>
      <c r="R40" s="138" t="e">
        <f>IF(#REF!="","",RIGHT(#REF!,1))</f>
        <v>#REF!</v>
      </c>
      <c r="S40" s="138" t="e">
        <f>IF(#REF!="","",VALUE(CONCATENATE(O40,P40,Q40,R40)))</f>
        <v>#REF!</v>
      </c>
    </row>
    <row r="41" spans="2:32" ht="15.75" customHeight="1" x14ac:dyDescent="0.15">
      <c r="H41" s="138">
        <v>40</v>
      </c>
      <c r="I41" s="138" t="str">
        <f>IF(VLOOKUP(H41,名簿ﾏｽﾀｰ!$J$7:$K$56,2,0)="","",VLOOKUP(H41,名簿ﾏｽﾀｰ!$J$7:$K$56,2,0))</f>
        <v/>
      </c>
      <c r="J41" s="102" t="str">
        <f>IF(VLOOKUP(H41,名簿ﾏｽﾀｰ!$J$7:$Q$56,7,0)="","",VLOOKUP(H41,名簿ﾏｽﾀｰ!$J$7:$Q$56,7,0))</f>
        <v/>
      </c>
      <c r="K41" s="102" t="str">
        <f>IF(I41="","",IF(J41=1,COUNTIF(入力ﾌｫｰﾑ!$U$3:$U$10,$H41)+COUNTIF(入力ﾌｫｰﾑ!$U$20:$U$27,$H41),IF(J41=2,"")))</f>
        <v/>
      </c>
      <c r="L41" s="102" t="str">
        <f t="shared" si="16"/>
        <v/>
      </c>
      <c r="N41" s="138">
        <v>10</v>
      </c>
      <c r="O41" s="138">
        <f t="shared" si="14"/>
        <v>2</v>
      </c>
      <c r="P41" s="138">
        <f t="shared" si="15"/>
        <v>4</v>
      </c>
      <c r="Q41" s="138" t="e">
        <f>IF(#REF!="","",LEFT(#REF!,2))</f>
        <v>#REF!</v>
      </c>
      <c r="R41" s="138" t="e">
        <f>IF(#REF!="","",RIGHT(#REF!,1))</f>
        <v>#REF!</v>
      </c>
      <c r="S41" s="138" t="e">
        <f>IF(#REF!="","",VALUE(CONCATENATE(O41,P41,Q41,R41)))</f>
        <v>#REF!</v>
      </c>
    </row>
    <row r="42" spans="2:32" ht="15.75" customHeight="1" x14ac:dyDescent="0.15">
      <c r="H42" s="138">
        <v>41</v>
      </c>
      <c r="I42" s="138" t="str">
        <f>IF(VLOOKUP(H42,名簿ﾏｽﾀｰ!$J$7:$K$56,2,0)="","",VLOOKUP(H42,名簿ﾏｽﾀｰ!$J$7:$K$56,2,0))</f>
        <v/>
      </c>
      <c r="J42" s="102" t="str">
        <f>IF(VLOOKUP(H42,名簿ﾏｽﾀｰ!$J$7:$Q$56,7,0)="","",VLOOKUP(H42,名簿ﾏｽﾀｰ!$J$7:$Q$56,7,0))</f>
        <v/>
      </c>
      <c r="K42" s="102" t="str">
        <f>IF(I42="","",IF(J42=1,COUNTIF(入力ﾌｫｰﾑ!$U$3:$U$10,$H42)+COUNTIF(入力ﾌｫｰﾑ!$U$20:$U$27,$H42),IF(J42=2,"")))</f>
        <v/>
      </c>
      <c r="L42" s="102" t="str">
        <f t="shared" si="16"/>
        <v/>
      </c>
    </row>
    <row r="43" spans="2:32" ht="15.75" customHeight="1" x14ac:dyDescent="0.15">
      <c r="H43" s="138">
        <v>42</v>
      </c>
      <c r="I43" s="138" t="str">
        <f>IF(VLOOKUP(H43,名簿ﾏｽﾀｰ!$J$7:$K$56,2,0)="","",VLOOKUP(H43,名簿ﾏｽﾀｰ!$J$7:$K$56,2,0))</f>
        <v/>
      </c>
      <c r="J43" s="102" t="str">
        <f>IF(VLOOKUP(H43,名簿ﾏｽﾀｰ!$J$7:$Q$56,7,0)="","",VLOOKUP(H43,名簿ﾏｽﾀｰ!$J$7:$Q$56,7,0))</f>
        <v/>
      </c>
      <c r="K43" s="102" t="str">
        <f>IF(I43="","",IF(J43=1,COUNTIF(入力ﾌｫｰﾑ!$U$3:$U$10,$H43)+COUNTIF(入力ﾌｫｰﾑ!$U$20:$U$27,$H43),IF(J43=2,"")))</f>
        <v/>
      </c>
      <c r="L43" s="102" t="str">
        <f t="shared" si="16"/>
        <v/>
      </c>
    </row>
    <row r="44" spans="2:32" ht="15.75" customHeight="1" x14ac:dyDescent="0.15">
      <c r="H44" s="138">
        <v>43</v>
      </c>
      <c r="I44" s="138" t="str">
        <f>IF(VLOOKUP(H44,名簿ﾏｽﾀｰ!$J$7:$K$56,2,0)="","",VLOOKUP(H44,名簿ﾏｽﾀｰ!$J$7:$K$56,2,0))</f>
        <v/>
      </c>
      <c r="J44" s="102" t="str">
        <f>IF(VLOOKUP(H44,名簿ﾏｽﾀｰ!$J$7:$Q$56,7,0)="","",VLOOKUP(H44,名簿ﾏｽﾀｰ!$J$7:$Q$56,7,0))</f>
        <v/>
      </c>
      <c r="K44" s="102" t="str">
        <f>IF(I44="","",IF(J44=1,COUNTIF(入力ﾌｫｰﾑ!$U$3:$U$10,$H44)+COUNTIF(入力ﾌｫｰﾑ!$U$20:$U$27,$H44),IF(J44=2,"")))</f>
        <v/>
      </c>
      <c r="L44" s="102" t="str">
        <f t="shared" si="16"/>
        <v/>
      </c>
    </row>
    <row r="45" spans="2:32" ht="15.75" customHeight="1" x14ac:dyDescent="0.15">
      <c r="H45" s="138">
        <v>44</v>
      </c>
      <c r="I45" s="138" t="str">
        <f>IF(VLOOKUP(H45,名簿ﾏｽﾀｰ!$J$7:$K$56,2,0)="","",VLOOKUP(H45,名簿ﾏｽﾀｰ!$J$7:$K$56,2,0))</f>
        <v/>
      </c>
      <c r="J45" s="102" t="str">
        <f>IF(VLOOKUP(H45,名簿ﾏｽﾀｰ!$J$7:$Q$56,7,0)="","",VLOOKUP(H45,名簿ﾏｽﾀｰ!$J$7:$Q$56,7,0))</f>
        <v/>
      </c>
      <c r="K45" s="102" t="str">
        <f>IF(I45="","",IF(J45=1,COUNTIF(入力ﾌｫｰﾑ!$U$3:$U$10,$H45)+COUNTIF(入力ﾌｫｰﾑ!$U$20:$U$27,$H45),IF(J45=2,"")))</f>
        <v/>
      </c>
      <c r="L45" s="102" t="str">
        <f t="shared" si="16"/>
        <v/>
      </c>
    </row>
    <row r="46" spans="2:32" ht="15.75" customHeight="1" x14ac:dyDescent="0.15">
      <c r="H46" s="138">
        <v>45</v>
      </c>
      <c r="I46" s="138" t="str">
        <f>IF(VLOOKUP(H46,名簿ﾏｽﾀｰ!$J$7:$K$56,2,0)="","",VLOOKUP(H46,名簿ﾏｽﾀｰ!$J$7:$K$56,2,0))</f>
        <v/>
      </c>
      <c r="J46" s="102" t="str">
        <f>IF(VLOOKUP(H46,名簿ﾏｽﾀｰ!$J$7:$Q$56,7,0)="","",VLOOKUP(H46,名簿ﾏｽﾀｰ!$J$7:$Q$56,7,0))</f>
        <v/>
      </c>
      <c r="K46" s="102" t="str">
        <f>IF(I46="","",IF(J46=1,COUNTIF(入力ﾌｫｰﾑ!$U$3:$U$10,$H46)+COUNTIF(入力ﾌｫｰﾑ!$U$20:$U$27,$H46),IF(J46=2,"")))</f>
        <v/>
      </c>
      <c r="L46" s="102" t="str">
        <f t="shared" si="16"/>
        <v/>
      </c>
    </row>
    <row r="47" spans="2:32" ht="15.75" customHeight="1" x14ac:dyDescent="0.15">
      <c r="H47" s="138">
        <v>46</v>
      </c>
      <c r="I47" s="138" t="str">
        <f>IF(VLOOKUP(H47,名簿ﾏｽﾀｰ!$J$7:$K$56,2,0)="","",VLOOKUP(H47,名簿ﾏｽﾀｰ!$J$7:$K$56,2,0))</f>
        <v/>
      </c>
      <c r="J47" s="102" t="str">
        <f>IF(VLOOKUP(H47,名簿ﾏｽﾀｰ!$J$7:$Q$56,7,0)="","",VLOOKUP(H47,名簿ﾏｽﾀｰ!$J$7:$Q$56,7,0))</f>
        <v/>
      </c>
      <c r="K47" s="102" t="str">
        <f>IF(I47="","",IF(J47=1,COUNTIF(入力ﾌｫｰﾑ!$U$3:$U$10,$H47)+COUNTIF(入力ﾌｫｰﾑ!$U$20:$U$27,$H47),IF(J47=2,"")))</f>
        <v/>
      </c>
      <c r="L47" s="102" t="str">
        <f t="shared" si="16"/>
        <v/>
      </c>
    </row>
    <row r="48" spans="2:32" ht="15.75" customHeight="1" x14ac:dyDescent="0.15">
      <c r="H48" s="138">
        <v>47</v>
      </c>
      <c r="I48" s="138" t="str">
        <f>IF(VLOOKUP(H48,名簿ﾏｽﾀｰ!$J$7:$K$56,2,0)="","",VLOOKUP(H48,名簿ﾏｽﾀｰ!$J$7:$K$56,2,0))</f>
        <v/>
      </c>
      <c r="J48" s="102" t="str">
        <f>IF(VLOOKUP(H48,名簿ﾏｽﾀｰ!$J$7:$Q$56,7,0)="","",VLOOKUP(H48,名簿ﾏｽﾀｰ!$J$7:$Q$56,7,0))</f>
        <v/>
      </c>
      <c r="K48" s="102" t="str">
        <f>IF(I48="","",IF(J48=1,COUNTIF(入力ﾌｫｰﾑ!$U$3:$U$10,$H48)+COUNTIF(入力ﾌｫｰﾑ!$U$20:$U$27,$H48),IF(J48=2,"")))</f>
        <v/>
      </c>
      <c r="L48" s="102" t="str">
        <f t="shared" si="16"/>
        <v/>
      </c>
    </row>
    <row r="49" spans="8:12" ht="15.75" customHeight="1" x14ac:dyDescent="0.15">
      <c r="H49" s="138">
        <v>48</v>
      </c>
      <c r="I49" s="138" t="str">
        <f>IF(VLOOKUP(H49,名簿ﾏｽﾀｰ!$J$7:$K$56,2,0)="","",VLOOKUP(H49,名簿ﾏｽﾀｰ!$J$7:$K$56,2,0))</f>
        <v/>
      </c>
      <c r="J49" s="102" t="str">
        <f>IF(VLOOKUP(H49,名簿ﾏｽﾀｰ!$J$7:$Q$56,7,0)="","",VLOOKUP(H49,名簿ﾏｽﾀｰ!$J$7:$Q$56,7,0))</f>
        <v/>
      </c>
      <c r="K49" s="102" t="str">
        <f>IF(I49="","",IF(J49=1,COUNTIF(入力ﾌｫｰﾑ!$U$3:$U$10,$H49)+COUNTIF(入力ﾌｫｰﾑ!$U$20:$U$27,$H49),IF(J49=2,"")))</f>
        <v/>
      </c>
      <c r="L49" s="102" t="str">
        <f t="shared" si="16"/>
        <v/>
      </c>
    </row>
    <row r="50" spans="8:12" ht="15.75" customHeight="1" x14ac:dyDescent="0.15">
      <c r="H50" s="138">
        <v>49</v>
      </c>
      <c r="I50" s="138" t="str">
        <f>IF(VLOOKUP(H50,名簿ﾏｽﾀｰ!$J$7:$K$56,2,0)="","",VLOOKUP(H50,名簿ﾏｽﾀｰ!$J$7:$K$56,2,0))</f>
        <v/>
      </c>
      <c r="J50" s="102" t="str">
        <f>IF(VLOOKUP(H50,名簿ﾏｽﾀｰ!$J$7:$Q$56,7,0)="","",VLOOKUP(H50,名簿ﾏｽﾀｰ!$J$7:$Q$56,7,0))</f>
        <v/>
      </c>
      <c r="K50" s="102" t="str">
        <f>IF(I50="","",IF(J50=1,COUNTIF(入力ﾌｫｰﾑ!$U$3:$U$10,$H50)+COUNTIF(入力ﾌｫｰﾑ!$U$20:$U$27,$H50),IF(J50=2,"")))</f>
        <v/>
      </c>
      <c r="L50" s="102" t="str">
        <f t="shared" si="16"/>
        <v/>
      </c>
    </row>
    <row r="51" spans="8:12" ht="15.75" customHeight="1" x14ac:dyDescent="0.15">
      <c r="H51" s="138">
        <v>50</v>
      </c>
      <c r="I51" s="138" t="str">
        <f>IF(VLOOKUP(H51,名簿ﾏｽﾀｰ!$J$7:$K$56,2,0)="","",VLOOKUP(H51,名簿ﾏｽﾀｰ!$J$7:$K$56,2,0))</f>
        <v/>
      </c>
      <c r="J51" s="102" t="str">
        <f>IF(VLOOKUP(H51,名簿ﾏｽﾀｰ!$J$7:$Q$56,7,0)="","",VLOOKUP(H51,名簿ﾏｽﾀｰ!$J$7:$Q$56,7,0))</f>
        <v/>
      </c>
      <c r="K51" s="102" t="str">
        <f>IF(I51="","",IF(J51=1,COUNTIF(入力ﾌｫｰﾑ!$U$3:$U$10,$H51)+COUNTIF(入力ﾌｫｰﾑ!$U$20:$U$27,$H51),IF(J51=2,"")))</f>
        <v/>
      </c>
      <c r="L51" s="102" t="str">
        <f t="shared" si="16"/>
        <v/>
      </c>
    </row>
  </sheetData>
  <sheetProtection sheet="1" objects="1" scenarios="1"/>
  <mergeCells count="15">
    <mergeCell ref="B14:B15"/>
    <mergeCell ref="E14:E15"/>
    <mergeCell ref="F14:F15"/>
    <mergeCell ref="B1:B2"/>
    <mergeCell ref="F3:F4"/>
    <mergeCell ref="B9:B10"/>
    <mergeCell ref="F9:F10"/>
    <mergeCell ref="E9:E10"/>
    <mergeCell ref="F6:F7"/>
    <mergeCell ref="B19:B20"/>
    <mergeCell ref="E19:E20"/>
    <mergeCell ref="F19:F20"/>
    <mergeCell ref="B24:B25"/>
    <mergeCell ref="E24:E25"/>
    <mergeCell ref="F24:F25"/>
  </mergeCells>
  <phoneticPr fontId="2"/>
  <conditionalFormatting sqref="V3:V10">
    <cfRule type="expression" dxfId="2" priority="2" stopIfTrue="1">
      <formula>G4&lt;&gt;""</formula>
    </cfRule>
  </conditionalFormatting>
  <conditionalFormatting sqref="V16:V17">
    <cfRule type="expression" dxfId="1" priority="1" stopIfTrue="1">
      <formula>G20&lt;&gt;""</formula>
    </cfRule>
  </conditionalFormatting>
  <conditionalFormatting sqref="B3:B7">
    <cfRule type="expression" dxfId="0" priority="3" stopIfTrue="1">
      <formula>#REF!&lt;&gt;""</formula>
    </cfRule>
  </conditionalFormatting>
  <dataValidations count="3">
    <dataValidation imeMode="on" allowBlank="1" showInputMessage="1" showErrorMessage="1" sqref="F3"/>
    <dataValidation type="list" allowBlank="1" showInputMessage="1" showErrorMessage="1" sqref="AF3:AF10 AF13:AF17 AF20:AF27 AF30:AF37">
      <formula1>"○,　"</formula1>
    </dataValidation>
    <dataValidation imeMode="halfAlpha" allowBlank="1" showInputMessage="1" showErrorMessage="1" sqref="E11:F11 C10:C12 E21:F21 D10 U13:U17 D15 E16:F16 D20 C15:C17 C20:C22 C25:C27 D25 U3:U10 E26:F26 F6:F7 C34:D36 U20:V27 U30:V37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U57"/>
  <sheetViews>
    <sheetView zoomScale="120" zoomScaleNormal="120" zoomScaleSheetLayoutView="110" workbookViewId="0">
      <pane ySplit="6" topLeftCell="A7" activePane="bottomLeft" state="frozen"/>
      <selection activeCell="V10" sqref="V10"/>
      <selection pane="bottomLeft" activeCell="C7" sqref="C7"/>
    </sheetView>
  </sheetViews>
  <sheetFormatPr defaultRowHeight="13.5" outlineLevelCol="1" x14ac:dyDescent="0.15"/>
  <cols>
    <col min="1" max="1" width="2.125" style="12" customWidth="1"/>
    <col min="2" max="2" width="4.125" style="12" customWidth="1"/>
    <col min="3" max="6" width="13.125" style="12" customWidth="1"/>
    <col min="7" max="8" width="13.125" style="12" hidden="1" customWidth="1" outlineLevel="1"/>
    <col min="9" max="9" width="1.5" style="12" customWidth="1" collapsed="1"/>
    <col min="10" max="10" width="3.875" style="12" customWidth="1"/>
    <col min="11" max="12" width="13.125" style="12" customWidth="1"/>
    <col min="13" max="13" width="5.125" style="12" customWidth="1"/>
    <col min="14" max="16" width="12.5" style="12" customWidth="1"/>
    <col min="17" max="17" width="11.625" style="12" customWidth="1"/>
    <col min="18" max="18" width="3.75" style="12" customWidth="1"/>
    <col min="19" max="19" width="7.5" style="32" customWidth="1"/>
    <col min="20" max="20" width="9.625" style="32" customWidth="1"/>
    <col min="21" max="21" width="11.125" style="59" customWidth="1"/>
    <col min="22" max="22" width="4.625" style="12" customWidth="1"/>
    <col min="23" max="16384" width="9" style="12"/>
  </cols>
  <sheetData>
    <row r="1" spans="1:21" ht="97.15" customHeight="1" thickBot="1" x14ac:dyDescent="0.2">
      <c r="A1" s="238" t="s">
        <v>932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16"/>
      <c r="S1" s="16"/>
      <c r="T1" s="16"/>
    </row>
    <row r="2" spans="1:21" ht="24" customHeight="1" x14ac:dyDescent="0.15">
      <c r="A2" s="13"/>
      <c r="B2" s="239" t="s">
        <v>933</v>
      </c>
      <c r="C2" s="240"/>
      <c r="D2" s="240"/>
      <c r="E2" s="240"/>
      <c r="F2" s="241"/>
      <c r="G2" s="16"/>
      <c r="H2" s="16"/>
      <c r="I2" s="13"/>
      <c r="J2" s="60" t="str">
        <f>CONCATENATE(メインシート!$H$6,"　選手名簿マスター")</f>
        <v>　選手名簿マスター</v>
      </c>
      <c r="K2" s="16"/>
      <c r="L2" s="16"/>
      <c r="M2" s="16"/>
      <c r="N2" s="16"/>
      <c r="O2" s="16"/>
      <c r="P2" s="16"/>
      <c r="Q2" s="16"/>
      <c r="R2" s="14"/>
      <c r="S2" s="16"/>
      <c r="T2" s="16"/>
    </row>
    <row r="3" spans="1:21" ht="15" customHeight="1" x14ac:dyDescent="0.15">
      <c r="A3" s="13"/>
      <c r="B3" s="242"/>
      <c r="C3" s="243"/>
      <c r="D3" s="243"/>
      <c r="E3" s="243"/>
      <c r="F3" s="244"/>
      <c r="G3" s="16"/>
      <c r="H3" s="16"/>
      <c r="I3" s="13"/>
      <c r="J3" s="248" t="s">
        <v>848</v>
      </c>
      <c r="K3" s="249"/>
      <c r="L3" s="249"/>
      <c r="M3" s="250"/>
      <c r="N3" s="14" t="s">
        <v>67</v>
      </c>
      <c r="O3" s="14" t="s">
        <v>69</v>
      </c>
      <c r="P3" s="14" t="s">
        <v>934</v>
      </c>
      <c r="Q3" s="14"/>
      <c r="R3" s="61"/>
      <c r="S3" s="16"/>
      <c r="T3" s="16"/>
    </row>
    <row r="4" spans="1:21" ht="15" customHeight="1" thickBot="1" x14ac:dyDescent="0.2">
      <c r="A4" s="13"/>
      <c r="B4" s="245"/>
      <c r="C4" s="246"/>
      <c r="D4" s="246"/>
      <c r="E4" s="246"/>
      <c r="F4" s="247"/>
      <c r="G4" s="16"/>
      <c r="H4" s="16"/>
      <c r="I4" s="13"/>
      <c r="J4" s="62">
        <f>メインシート!$C$6</f>
        <v>0</v>
      </c>
      <c r="K4" s="63" t="e">
        <f>IF(J4="","",VLOOKUP(J4,学校ﾏｽﾀｰ!$C$4:$AA$363,5,0))</f>
        <v>#N/A</v>
      </c>
      <c r="L4" s="64"/>
      <c r="M4" s="64"/>
      <c r="N4" s="63" t="e">
        <f>IF(VLOOKUP($J$4,学校ﾏｽﾀｰ!$C$4:$AA$363,7,0)="","",VLOOKUP($J$4,学校ﾏｽﾀｰ!$C$4:$AA$363,7,0))</f>
        <v>#N/A</v>
      </c>
      <c r="O4" s="63" t="e">
        <f>IF(VLOOKUP($J$4,学校ﾏｽﾀｰ!$C$4:$AA$363,10,0)="","",VLOOKUP($J$4,学校ﾏｽﾀｰ!$C$4:$AA$363,10,0))</f>
        <v>#N/A</v>
      </c>
      <c r="P4" s="63" t="e">
        <f>IF(VLOOKUP($J$4,学校ﾏｽﾀｰ!$C$4:$AA$363,13,0)="","",VLOOKUP($J$4,学校ﾏｽﾀｰ!$C$4:$AA$363,13,0))</f>
        <v>#N/A</v>
      </c>
      <c r="Q4" s="14"/>
      <c r="R4" s="14" t="s">
        <v>886</v>
      </c>
      <c r="S4" s="16"/>
      <c r="T4" s="16"/>
    </row>
    <row r="5" spans="1:21" ht="15" customHeight="1" x14ac:dyDescent="0.15">
      <c r="A5" s="13"/>
      <c r="B5" s="65" t="s">
        <v>935</v>
      </c>
      <c r="C5" s="65" t="s">
        <v>852</v>
      </c>
      <c r="D5" s="65" t="s">
        <v>853</v>
      </c>
      <c r="E5" s="65" t="s">
        <v>854</v>
      </c>
      <c r="F5" s="65" t="s">
        <v>855</v>
      </c>
      <c r="G5" s="15"/>
      <c r="H5" s="15"/>
      <c r="I5" s="13"/>
      <c r="J5" s="65" t="s">
        <v>936</v>
      </c>
      <c r="K5" s="65" t="s">
        <v>29</v>
      </c>
      <c r="L5" s="65" t="s">
        <v>937</v>
      </c>
      <c r="M5" s="14" t="s">
        <v>11</v>
      </c>
      <c r="N5" s="14" t="s">
        <v>36</v>
      </c>
      <c r="O5" s="14" t="s">
        <v>849</v>
      </c>
      <c r="P5" s="14" t="s">
        <v>847</v>
      </c>
      <c r="Q5" s="14" t="s">
        <v>885</v>
      </c>
      <c r="R5" s="14" t="s">
        <v>886</v>
      </c>
      <c r="S5" s="14" t="s">
        <v>887</v>
      </c>
      <c r="T5" s="14" t="s">
        <v>848</v>
      </c>
      <c r="U5" s="66">
        <f t="shared" ref="U5:U56" ca="1" si="0">TODAY()</f>
        <v>42551</v>
      </c>
    </row>
    <row r="6" spans="1:21" ht="15" customHeight="1" x14ac:dyDescent="0.15">
      <c r="A6" s="13"/>
      <c r="B6" s="17" t="s">
        <v>888</v>
      </c>
      <c r="C6" s="17" t="s">
        <v>23</v>
      </c>
      <c r="D6" s="17" t="s">
        <v>889</v>
      </c>
      <c r="E6" s="17" t="s">
        <v>938</v>
      </c>
      <c r="F6" s="17" t="s">
        <v>939</v>
      </c>
      <c r="G6" s="18" t="str">
        <f>IF($C6="","",CONCATENATE($C6,IF(LEN($C6)=2,"　",IF(LEN($C6)=1,"　　",""))))</f>
        <v>福島　</v>
      </c>
      <c r="H6" s="18" t="str">
        <f t="shared" ref="H6:H56" si="1">CONCATENATE(IF($C6="","",IF(LEN($D6)=2,"",IF(LEN($D6)=1,"　",""))),$D6)</f>
        <v>太郎</v>
      </c>
      <c r="I6" s="13"/>
      <c r="J6" s="19" t="s">
        <v>888</v>
      </c>
      <c r="K6" s="19" t="str">
        <f t="shared" ref="K6:K56" si="2">IF($C6="","",CONCATENATE(G6,H6))</f>
        <v>福島　太郎</v>
      </c>
      <c r="L6" s="19" t="str">
        <f t="shared" ref="L6:L56" si="3">IF($C6="","",CONCATENATE($E6,"　",$F6))</f>
        <v>ふくしま　たろう</v>
      </c>
      <c r="M6" s="17">
        <v>3</v>
      </c>
      <c r="N6" s="17" t="s">
        <v>890</v>
      </c>
      <c r="O6" s="17">
        <v>105.8</v>
      </c>
      <c r="P6" s="17" t="s">
        <v>891</v>
      </c>
      <c r="Q6" s="20">
        <v>23389</v>
      </c>
      <c r="R6" s="14">
        <f t="shared" ref="R6:R56" ca="1" si="4">IF(Q6="","",DATEDIF(Q6,U6,"Y"))</f>
        <v>52</v>
      </c>
      <c r="S6" s="67">
        <f t="shared" ref="S6:S56" si="5">IF(K6="","",$J$4)</f>
        <v>0</v>
      </c>
      <c r="T6" s="68" t="e">
        <f>IF(S6="","",VLOOKUP(S6,学校ﾏｽﾀｰ!$C$4:$AA$363,5,0))</f>
        <v>#N/A</v>
      </c>
      <c r="U6" s="66">
        <f t="shared" ca="1" si="0"/>
        <v>42551</v>
      </c>
    </row>
    <row r="7" spans="1:21" ht="15" customHeight="1" x14ac:dyDescent="0.15">
      <c r="A7" s="13"/>
      <c r="B7" s="14">
        <v>1</v>
      </c>
      <c r="C7" s="21"/>
      <c r="D7" s="21"/>
      <c r="E7" s="21"/>
      <c r="F7" s="21"/>
      <c r="G7" s="22" t="str">
        <f t="shared" ref="G7:G56" si="6">IF($C7="","",IF(LEN($D7)=3,CONCATENATE($C7,IF(LEN($C7)=2,"",IF(LEN($C7)=1,"　",""))),CONCATENATE($C7,IF(LEN($C7)=2,"　",IF(LEN($C7)=1,"　　","")))))</f>
        <v/>
      </c>
      <c r="H7" s="22" t="str">
        <f t="shared" si="1"/>
        <v/>
      </c>
      <c r="I7" s="13"/>
      <c r="J7" s="14">
        <f t="shared" ref="J7:J56" si="7">B7</f>
        <v>1</v>
      </c>
      <c r="K7" s="26" t="str">
        <f t="shared" si="2"/>
        <v/>
      </c>
      <c r="L7" s="23" t="str">
        <f t="shared" si="3"/>
        <v/>
      </c>
      <c r="M7" s="21"/>
      <c r="N7" s="21"/>
      <c r="O7" s="21"/>
      <c r="P7" s="25"/>
      <c r="Q7" s="24"/>
      <c r="R7" s="14" t="str">
        <f t="shared" si="4"/>
        <v/>
      </c>
      <c r="S7" s="67" t="str">
        <f t="shared" si="5"/>
        <v/>
      </c>
      <c r="T7" s="68" t="str">
        <f>IF(S7="","",VLOOKUP(S7,学校ﾏｽﾀｰ!$C$4:$AA$363,5,0))</f>
        <v/>
      </c>
      <c r="U7" s="66">
        <f t="shared" ca="1" si="0"/>
        <v>42551</v>
      </c>
    </row>
    <row r="8" spans="1:21" ht="15" customHeight="1" x14ac:dyDescent="0.15">
      <c r="A8" s="13"/>
      <c r="B8" s="14">
        <v>2</v>
      </c>
      <c r="C8" s="21"/>
      <c r="D8" s="21"/>
      <c r="E8" s="21"/>
      <c r="F8" s="21"/>
      <c r="G8" s="22" t="str">
        <f t="shared" si="6"/>
        <v/>
      </c>
      <c r="H8" s="22" t="str">
        <f t="shared" si="1"/>
        <v/>
      </c>
      <c r="I8" s="13"/>
      <c r="J8" s="14">
        <f t="shared" si="7"/>
        <v>2</v>
      </c>
      <c r="K8" s="23" t="str">
        <f t="shared" si="2"/>
        <v/>
      </c>
      <c r="L8" s="23" t="str">
        <f t="shared" si="3"/>
        <v/>
      </c>
      <c r="M8" s="21"/>
      <c r="N8" s="21"/>
      <c r="O8" s="21"/>
      <c r="P8" s="25"/>
      <c r="Q8" s="24"/>
      <c r="R8" s="14" t="str">
        <f t="shared" si="4"/>
        <v/>
      </c>
      <c r="S8" s="67" t="str">
        <f t="shared" si="5"/>
        <v/>
      </c>
      <c r="T8" s="68" t="str">
        <f>IF(S8="","",VLOOKUP(S8,学校ﾏｽﾀｰ!$C$4:$AA$363,5,0))</f>
        <v/>
      </c>
      <c r="U8" s="66">
        <f t="shared" ca="1" si="0"/>
        <v>42551</v>
      </c>
    </row>
    <row r="9" spans="1:21" ht="15" customHeight="1" x14ac:dyDescent="0.15">
      <c r="A9" s="13"/>
      <c r="B9" s="14">
        <v>3</v>
      </c>
      <c r="C9" s="21"/>
      <c r="D9" s="21"/>
      <c r="E9" s="21"/>
      <c r="F9" s="21"/>
      <c r="G9" s="22" t="str">
        <f t="shared" si="6"/>
        <v/>
      </c>
      <c r="H9" s="22" t="str">
        <f t="shared" si="1"/>
        <v/>
      </c>
      <c r="I9" s="13"/>
      <c r="J9" s="14">
        <f t="shared" si="7"/>
        <v>3</v>
      </c>
      <c r="K9" s="23" t="str">
        <f t="shared" si="2"/>
        <v/>
      </c>
      <c r="L9" s="23" t="str">
        <f t="shared" si="3"/>
        <v/>
      </c>
      <c r="M9" s="21"/>
      <c r="N9" s="21"/>
      <c r="O9" s="21"/>
      <c r="P9" s="25"/>
      <c r="Q9" s="24"/>
      <c r="R9" s="14" t="str">
        <f t="shared" si="4"/>
        <v/>
      </c>
      <c r="S9" s="67" t="str">
        <f t="shared" si="5"/>
        <v/>
      </c>
      <c r="T9" s="68" t="str">
        <f>IF(S9="","",VLOOKUP(S9,学校ﾏｽﾀｰ!$C$4:$AA$363,5,0))</f>
        <v/>
      </c>
      <c r="U9" s="66">
        <f t="shared" ca="1" si="0"/>
        <v>42551</v>
      </c>
    </row>
    <row r="10" spans="1:21" ht="15" customHeight="1" x14ac:dyDescent="0.15">
      <c r="A10" s="13"/>
      <c r="B10" s="14">
        <v>4</v>
      </c>
      <c r="C10" s="21"/>
      <c r="D10" s="21"/>
      <c r="E10" s="21"/>
      <c r="F10" s="21"/>
      <c r="G10" s="22" t="str">
        <f t="shared" si="6"/>
        <v/>
      </c>
      <c r="H10" s="22" t="str">
        <f t="shared" si="1"/>
        <v/>
      </c>
      <c r="I10" s="13"/>
      <c r="J10" s="14">
        <f t="shared" si="7"/>
        <v>4</v>
      </c>
      <c r="K10" s="23" t="str">
        <f t="shared" si="2"/>
        <v/>
      </c>
      <c r="L10" s="23" t="str">
        <f t="shared" si="3"/>
        <v/>
      </c>
      <c r="M10" s="21"/>
      <c r="N10" s="21"/>
      <c r="O10" s="21"/>
      <c r="P10" s="25"/>
      <c r="Q10" s="24"/>
      <c r="R10" s="14" t="str">
        <f t="shared" si="4"/>
        <v/>
      </c>
      <c r="S10" s="67" t="str">
        <f t="shared" si="5"/>
        <v/>
      </c>
      <c r="T10" s="68" t="str">
        <f>IF(S10="","",VLOOKUP(S10,学校ﾏｽﾀｰ!$C$4:$AA$363,5,0))</f>
        <v/>
      </c>
      <c r="U10" s="66">
        <f t="shared" ca="1" si="0"/>
        <v>42551</v>
      </c>
    </row>
    <row r="11" spans="1:21" ht="15" customHeight="1" x14ac:dyDescent="0.15">
      <c r="A11" s="13"/>
      <c r="B11" s="14">
        <v>5</v>
      </c>
      <c r="C11" s="21"/>
      <c r="D11" s="21"/>
      <c r="E11" s="21"/>
      <c r="F11" s="21"/>
      <c r="G11" s="22" t="str">
        <f t="shared" si="6"/>
        <v/>
      </c>
      <c r="H11" s="22" t="str">
        <f t="shared" si="1"/>
        <v/>
      </c>
      <c r="I11" s="13"/>
      <c r="J11" s="14">
        <f t="shared" si="7"/>
        <v>5</v>
      </c>
      <c r="K11" s="27" t="str">
        <f t="shared" si="2"/>
        <v/>
      </c>
      <c r="L11" s="23" t="str">
        <f t="shared" si="3"/>
        <v/>
      </c>
      <c r="M11" s="25"/>
      <c r="N11" s="21"/>
      <c r="O11" s="21"/>
      <c r="P11" s="25"/>
      <c r="Q11" s="24"/>
      <c r="R11" s="14" t="str">
        <f t="shared" si="4"/>
        <v/>
      </c>
      <c r="S11" s="67" t="str">
        <f t="shared" si="5"/>
        <v/>
      </c>
      <c r="T11" s="68" t="str">
        <f>IF(S11="","",VLOOKUP(S11,学校ﾏｽﾀｰ!$C$4:$AA$363,5,0))</f>
        <v/>
      </c>
      <c r="U11" s="66">
        <f t="shared" ca="1" si="0"/>
        <v>42551</v>
      </c>
    </row>
    <row r="12" spans="1:21" ht="15" customHeight="1" x14ac:dyDescent="0.15">
      <c r="A12" s="13"/>
      <c r="B12" s="14">
        <v>6</v>
      </c>
      <c r="C12" s="21"/>
      <c r="D12" s="21"/>
      <c r="E12" s="21"/>
      <c r="F12" s="21"/>
      <c r="G12" s="22" t="str">
        <f t="shared" si="6"/>
        <v/>
      </c>
      <c r="H12" s="22" t="str">
        <f t="shared" si="1"/>
        <v/>
      </c>
      <c r="I12" s="13"/>
      <c r="J12" s="14">
        <f t="shared" si="7"/>
        <v>6</v>
      </c>
      <c r="K12" s="23" t="str">
        <f t="shared" si="2"/>
        <v/>
      </c>
      <c r="L12" s="23" t="str">
        <f t="shared" si="3"/>
        <v/>
      </c>
      <c r="M12" s="21"/>
      <c r="N12" s="21"/>
      <c r="O12" s="21"/>
      <c r="P12" s="25"/>
      <c r="Q12" s="24"/>
      <c r="R12" s="14" t="str">
        <f t="shared" si="4"/>
        <v/>
      </c>
      <c r="S12" s="67" t="str">
        <f t="shared" si="5"/>
        <v/>
      </c>
      <c r="T12" s="68" t="str">
        <f>IF(S12="","",VLOOKUP(S12,学校ﾏｽﾀｰ!$C$4:$AA$363,5,0))</f>
        <v/>
      </c>
      <c r="U12" s="66">
        <f t="shared" ca="1" si="0"/>
        <v>42551</v>
      </c>
    </row>
    <row r="13" spans="1:21" ht="15" customHeight="1" x14ac:dyDescent="0.15">
      <c r="A13" s="13"/>
      <c r="B13" s="14">
        <v>7</v>
      </c>
      <c r="C13" s="21"/>
      <c r="D13" s="21"/>
      <c r="E13" s="21"/>
      <c r="F13" s="21"/>
      <c r="G13" s="22" t="str">
        <f t="shared" si="6"/>
        <v/>
      </c>
      <c r="H13" s="22" t="str">
        <f t="shared" si="1"/>
        <v/>
      </c>
      <c r="I13" s="13"/>
      <c r="J13" s="14">
        <f t="shared" si="7"/>
        <v>7</v>
      </c>
      <c r="K13" s="23" t="str">
        <f t="shared" si="2"/>
        <v/>
      </c>
      <c r="L13" s="23" t="str">
        <f t="shared" si="3"/>
        <v/>
      </c>
      <c r="M13" s="25"/>
      <c r="N13" s="21"/>
      <c r="O13" s="21"/>
      <c r="P13" s="25"/>
      <c r="Q13" s="24"/>
      <c r="R13" s="14" t="str">
        <f t="shared" si="4"/>
        <v/>
      </c>
      <c r="S13" s="67" t="str">
        <f t="shared" si="5"/>
        <v/>
      </c>
      <c r="T13" s="68" t="str">
        <f>IF(S13="","",VLOOKUP(S13,学校ﾏｽﾀｰ!$C$4:$AA$363,5,0))</f>
        <v/>
      </c>
      <c r="U13" s="66">
        <f t="shared" ca="1" si="0"/>
        <v>42551</v>
      </c>
    </row>
    <row r="14" spans="1:21" ht="15" customHeight="1" x14ac:dyDescent="0.15">
      <c r="A14" s="13"/>
      <c r="B14" s="14">
        <v>8</v>
      </c>
      <c r="C14" s="21"/>
      <c r="D14" s="21"/>
      <c r="E14" s="21"/>
      <c r="F14" s="21"/>
      <c r="G14" s="22" t="str">
        <f t="shared" si="6"/>
        <v/>
      </c>
      <c r="H14" s="22" t="str">
        <f t="shared" si="1"/>
        <v/>
      </c>
      <c r="I14" s="13"/>
      <c r="J14" s="14">
        <f t="shared" si="7"/>
        <v>8</v>
      </c>
      <c r="K14" s="23" t="str">
        <f t="shared" si="2"/>
        <v/>
      </c>
      <c r="L14" s="23" t="str">
        <f t="shared" si="3"/>
        <v/>
      </c>
      <c r="M14" s="28"/>
      <c r="N14" s="21"/>
      <c r="O14" s="21"/>
      <c r="P14" s="25"/>
      <c r="Q14" s="24"/>
      <c r="R14" s="14" t="str">
        <f t="shared" si="4"/>
        <v/>
      </c>
      <c r="S14" s="67" t="str">
        <f t="shared" si="5"/>
        <v/>
      </c>
      <c r="T14" s="68" t="str">
        <f>IF(S14="","",VLOOKUP(S14,学校ﾏｽﾀｰ!$C$4:$AA$363,5,0))</f>
        <v/>
      </c>
      <c r="U14" s="66">
        <f t="shared" ca="1" si="0"/>
        <v>42551</v>
      </c>
    </row>
    <row r="15" spans="1:21" ht="15" customHeight="1" x14ac:dyDescent="0.15">
      <c r="A15" s="13"/>
      <c r="B15" s="14">
        <v>9</v>
      </c>
      <c r="C15" s="21"/>
      <c r="D15" s="21"/>
      <c r="E15" s="21"/>
      <c r="F15" s="21"/>
      <c r="G15" s="22" t="str">
        <f t="shared" si="6"/>
        <v/>
      </c>
      <c r="H15" s="22" t="str">
        <f t="shared" si="1"/>
        <v/>
      </c>
      <c r="I15" s="13"/>
      <c r="J15" s="14">
        <f t="shared" si="7"/>
        <v>9</v>
      </c>
      <c r="K15" s="23" t="str">
        <f t="shared" si="2"/>
        <v/>
      </c>
      <c r="L15" s="23" t="str">
        <f t="shared" si="3"/>
        <v/>
      </c>
      <c r="M15" s="21"/>
      <c r="N15" s="21"/>
      <c r="O15" s="21"/>
      <c r="P15" s="25"/>
      <c r="Q15" s="24"/>
      <c r="R15" s="14" t="str">
        <f t="shared" si="4"/>
        <v/>
      </c>
      <c r="S15" s="67" t="str">
        <f t="shared" si="5"/>
        <v/>
      </c>
      <c r="T15" s="68" t="str">
        <f>IF(S15="","",VLOOKUP(S15,学校ﾏｽﾀｰ!$C$4:$AA$363,5,0))</f>
        <v/>
      </c>
      <c r="U15" s="66">
        <f t="shared" ca="1" si="0"/>
        <v>42551</v>
      </c>
    </row>
    <row r="16" spans="1:21" ht="15" customHeight="1" x14ac:dyDescent="0.15">
      <c r="A16" s="13"/>
      <c r="B16" s="14">
        <v>10</v>
      </c>
      <c r="C16" s="21"/>
      <c r="D16" s="21"/>
      <c r="E16" s="21"/>
      <c r="F16" s="21"/>
      <c r="G16" s="22" t="str">
        <f t="shared" si="6"/>
        <v/>
      </c>
      <c r="H16" s="22" t="str">
        <f t="shared" si="1"/>
        <v/>
      </c>
      <c r="I16" s="13"/>
      <c r="J16" s="14">
        <f t="shared" si="7"/>
        <v>10</v>
      </c>
      <c r="K16" s="23" t="str">
        <f t="shared" si="2"/>
        <v/>
      </c>
      <c r="L16" s="23" t="str">
        <f t="shared" si="3"/>
        <v/>
      </c>
      <c r="M16" s="28"/>
      <c r="N16" s="21"/>
      <c r="O16" s="21"/>
      <c r="P16" s="25"/>
      <c r="Q16" s="24"/>
      <c r="R16" s="14" t="str">
        <f t="shared" si="4"/>
        <v/>
      </c>
      <c r="S16" s="67" t="str">
        <f t="shared" si="5"/>
        <v/>
      </c>
      <c r="T16" s="68" t="str">
        <f>IF(S16="","",VLOOKUP(S16,学校ﾏｽﾀｰ!$C$4:$AA$363,5,0))</f>
        <v/>
      </c>
      <c r="U16" s="66">
        <f t="shared" ca="1" si="0"/>
        <v>42551</v>
      </c>
    </row>
    <row r="17" spans="1:21" ht="15" customHeight="1" x14ac:dyDescent="0.15">
      <c r="A17" s="13"/>
      <c r="B17" s="14">
        <v>11</v>
      </c>
      <c r="C17" s="21"/>
      <c r="D17" s="21"/>
      <c r="E17" s="21"/>
      <c r="F17" s="21"/>
      <c r="G17" s="22" t="str">
        <f t="shared" si="6"/>
        <v/>
      </c>
      <c r="H17" s="22" t="str">
        <f t="shared" si="1"/>
        <v/>
      </c>
      <c r="I17" s="13"/>
      <c r="J17" s="14">
        <f t="shared" si="7"/>
        <v>11</v>
      </c>
      <c r="K17" s="23" t="str">
        <f t="shared" si="2"/>
        <v/>
      </c>
      <c r="L17" s="23" t="str">
        <f t="shared" si="3"/>
        <v/>
      </c>
      <c r="M17" s="21"/>
      <c r="N17" s="21"/>
      <c r="O17" s="21"/>
      <c r="P17" s="25"/>
      <c r="Q17" s="24"/>
      <c r="R17" s="14" t="str">
        <f t="shared" si="4"/>
        <v/>
      </c>
      <c r="S17" s="67" t="str">
        <f t="shared" si="5"/>
        <v/>
      </c>
      <c r="T17" s="68" t="str">
        <f>IF(S17="","",VLOOKUP(S17,学校ﾏｽﾀｰ!$C$4:$AA$363,5,0))</f>
        <v/>
      </c>
      <c r="U17" s="66">
        <f t="shared" ca="1" si="0"/>
        <v>42551</v>
      </c>
    </row>
    <row r="18" spans="1:21" ht="15" customHeight="1" x14ac:dyDescent="0.15">
      <c r="A18" s="13"/>
      <c r="B18" s="14">
        <v>12</v>
      </c>
      <c r="C18" s="21"/>
      <c r="D18" s="21"/>
      <c r="E18" s="21"/>
      <c r="F18" s="21"/>
      <c r="G18" s="22" t="str">
        <f t="shared" si="6"/>
        <v/>
      </c>
      <c r="H18" s="22" t="str">
        <f t="shared" si="1"/>
        <v/>
      </c>
      <c r="I18" s="13"/>
      <c r="J18" s="14">
        <f t="shared" si="7"/>
        <v>12</v>
      </c>
      <c r="K18" s="27" t="str">
        <f t="shared" si="2"/>
        <v/>
      </c>
      <c r="L18" s="23" t="str">
        <f t="shared" si="3"/>
        <v/>
      </c>
      <c r="M18" s="28"/>
      <c r="N18" s="21"/>
      <c r="O18" s="21"/>
      <c r="P18" s="25"/>
      <c r="Q18" s="24"/>
      <c r="R18" s="14" t="str">
        <f t="shared" si="4"/>
        <v/>
      </c>
      <c r="S18" s="67" t="str">
        <f t="shared" si="5"/>
        <v/>
      </c>
      <c r="T18" s="68" t="str">
        <f>IF(S18="","",VLOOKUP(S18,学校ﾏｽﾀｰ!$C$4:$AA$363,5,0))</f>
        <v/>
      </c>
      <c r="U18" s="66">
        <f t="shared" ca="1" si="0"/>
        <v>42551</v>
      </c>
    </row>
    <row r="19" spans="1:21" ht="15" customHeight="1" x14ac:dyDescent="0.15">
      <c r="A19" s="13"/>
      <c r="B19" s="14">
        <v>13</v>
      </c>
      <c r="C19" s="21"/>
      <c r="D19" s="21"/>
      <c r="E19" s="21"/>
      <c r="F19" s="21"/>
      <c r="G19" s="22" t="str">
        <f t="shared" si="6"/>
        <v/>
      </c>
      <c r="H19" s="22" t="str">
        <f t="shared" si="1"/>
        <v/>
      </c>
      <c r="I19" s="13"/>
      <c r="J19" s="14">
        <f t="shared" si="7"/>
        <v>13</v>
      </c>
      <c r="K19" s="29" t="str">
        <f t="shared" si="2"/>
        <v/>
      </c>
      <c r="L19" s="23" t="str">
        <f t="shared" si="3"/>
        <v/>
      </c>
      <c r="M19" s="28"/>
      <c r="N19" s="21"/>
      <c r="O19" s="21"/>
      <c r="P19" s="25"/>
      <c r="Q19" s="24"/>
      <c r="R19" s="14" t="str">
        <f t="shared" si="4"/>
        <v/>
      </c>
      <c r="S19" s="67" t="str">
        <f t="shared" si="5"/>
        <v/>
      </c>
      <c r="T19" s="68" t="str">
        <f>IF(S19="","",VLOOKUP(S19,学校ﾏｽﾀｰ!$C$4:$AA$363,5,0))</f>
        <v/>
      </c>
      <c r="U19" s="66">
        <f t="shared" ca="1" si="0"/>
        <v>42551</v>
      </c>
    </row>
    <row r="20" spans="1:21" ht="15" customHeight="1" x14ac:dyDescent="0.15">
      <c r="A20" s="13"/>
      <c r="B20" s="14">
        <v>14</v>
      </c>
      <c r="C20" s="21"/>
      <c r="D20" s="21"/>
      <c r="E20" s="21"/>
      <c r="F20" s="21"/>
      <c r="G20" s="22" t="str">
        <f t="shared" si="6"/>
        <v/>
      </c>
      <c r="H20" s="22" t="str">
        <f t="shared" si="1"/>
        <v/>
      </c>
      <c r="I20" s="13"/>
      <c r="J20" s="14">
        <f t="shared" si="7"/>
        <v>14</v>
      </c>
      <c r="K20" s="23" t="str">
        <f t="shared" si="2"/>
        <v/>
      </c>
      <c r="L20" s="23" t="str">
        <f t="shared" si="3"/>
        <v/>
      </c>
      <c r="M20" s="21"/>
      <c r="N20" s="21"/>
      <c r="O20" s="21"/>
      <c r="P20" s="25"/>
      <c r="Q20" s="24"/>
      <c r="R20" s="14" t="str">
        <f t="shared" si="4"/>
        <v/>
      </c>
      <c r="S20" s="67" t="str">
        <f t="shared" si="5"/>
        <v/>
      </c>
      <c r="T20" s="68" t="str">
        <f>IF(S20="","",VLOOKUP(S20,学校ﾏｽﾀｰ!$C$4:$AA$363,5,0))</f>
        <v/>
      </c>
      <c r="U20" s="66">
        <f t="shared" ca="1" si="0"/>
        <v>42551</v>
      </c>
    </row>
    <row r="21" spans="1:21" ht="15" customHeight="1" x14ac:dyDescent="0.15">
      <c r="A21" s="13"/>
      <c r="B21" s="14">
        <v>15</v>
      </c>
      <c r="C21" s="21"/>
      <c r="D21" s="21"/>
      <c r="E21" s="21"/>
      <c r="F21" s="21"/>
      <c r="G21" s="22" t="str">
        <f t="shared" si="6"/>
        <v/>
      </c>
      <c r="H21" s="22" t="str">
        <f t="shared" si="1"/>
        <v/>
      </c>
      <c r="I21" s="13"/>
      <c r="J21" s="14">
        <f t="shared" si="7"/>
        <v>15</v>
      </c>
      <c r="K21" s="23" t="str">
        <f t="shared" si="2"/>
        <v/>
      </c>
      <c r="L21" s="23" t="str">
        <f t="shared" si="3"/>
        <v/>
      </c>
      <c r="M21" s="25"/>
      <c r="N21" s="25"/>
      <c r="O21" s="25"/>
      <c r="P21" s="21"/>
      <c r="Q21" s="24"/>
      <c r="R21" s="14" t="str">
        <f t="shared" si="4"/>
        <v/>
      </c>
      <c r="S21" s="67" t="str">
        <f t="shared" si="5"/>
        <v/>
      </c>
      <c r="T21" s="68" t="str">
        <f>IF(S21="","",VLOOKUP(S21,学校ﾏｽﾀｰ!$C$4:$AA$363,5,0))</f>
        <v/>
      </c>
      <c r="U21" s="66">
        <f t="shared" ca="1" si="0"/>
        <v>42551</v>
      </c>
    </row>
    <row r="22" spans="1:21" ht="15" customHeight="1" x14ac:dyDescent="0.15">
      <c r="A22" s="13"/>
      <c r="B22" s="14">
        <v>16</v>
      </c>
      <c r="C22" s="21"/>
      <c r="D22" s="21"/>
      <c r="E22" s="21"/>
      <c r="F22" s="21"/>
      <c r="G22" s="22" t="str">
        <f t="shared" si="6"/>
        <v/>
      </c>
      <c r="H22" s="22" t="str">
        <f t="shared" si="1"/>
        <v/>
      </c>
      <c r="I22" s="13"/>
      <c r="J22" s="14">
        <f t="shared" si="7"/>
        <v>16</v>
      </c>
      <c r="K22" s="23" t="str">
        <f t="shared" si="2"/>
        <v/>
      </c>
      <c r="L22" s="23" t="str">
        <f t="shared" si="3"/>
        <v/>
      </c>
      <c r="M22" s="21"/>
      <c r="N22" s="25"/>
      <c r="O22" s="21"/>
      <c r="P22" s="21"/>
      <c r="Q22" s="24"/>
      <c r="R22" s="14" t="str">
        <f t="shared" si="4"/>
        <v/>
      </c>
      <c r="S22" s="67" t="str">
        <f t="shared" si="5"/>
        <v/>
      </c>
      <c r="T22" s="68" t="str">
        <f>IF(S22="","",VLOOKUP(S22,学校ﾏｽﾀｰ!$C$4:$AA$363,5,0))</f>
        <v/>
      </c>
      <c r="U22" s="66">
        <f t="shared" ca="1" si="0"/>
        <v>42551</v>
      </c>
    </row>
    <row r="23" spans="1:21" ht="15" customHeight="1" x14ac:dyDescent="0.15">
      <c r="A23" s="13"/>
      <c r="B23" s="14">
        <v>17</v>
      </c>
      <c r="C23" s="21"/>
      <c r="D23" s="21"/>
      <c r="E23" s="21"/>
      <c r="F23" s="21"/>
      <c r="G23" s="22" t="str">
        <f t="shared" si="6"/>
        <v/>
      </c>
      <c r="H23" s="22" t="str">
        <f t="shared" si="1"/>
        <v/>
      </c>
      <c r="I23" s="13"/>
      <c r="J23" s="14">
        <f t="shared" si="7"/>
        <v>17</v>
      </c>
      <c r="K23" s="23" t="str">
        <f t="shared" si="2"/>
        <v/>
      </c>
      <c r="L23" s="23" t="str">
        <f t="shared" si="3"/>
        <v/>
      </c>
      <c r="M23" s="21"/>
      <c r="N23" s="25"/>
      <c r="O23" s="21"/>
      <c r="P23" s="25"/>
      <c r="Q23" s="24"/>
      <c r="R23" s="14" t="str">
        <f t="shared" si="4"/>
        <v/>
      </c>
      <c r="S23" s="67" t="str">
        <f t="shared" si="5"/>
        <v/>
      </c>
      <c r="T23" s="68" t="str">
        <f>IF(S23="","",VLOOKUP(S23,学校ﾏｽﾀｰ!$C$4:$AA$363,5,0))</f>
        <v/>
      </c>
      <c r="U23" s="66">
        <f t="shared" ca="1" si="0"/>
        <v>42551</v>
      </c>
    </row>
    <row r="24" spans="1:21" ht="15" customHeight="1" x14ac:dyDescent="0.15">
      <c r="A24" s="13"/>
      <c r="B24" s="14">
        <v>18</v>
      </c>
      <c r="C24" s="21"/>
      <c r="D24" s="21"/>
      <c r="E24" s="21"/>
      <c r="F24" s="21"/>
      <c r="G24" s="22" t="str">
        <f t="shared" si="6"/>
        <v/>
      </c>
      <c r="H24" s="22" t="str">
        <f t="shared" si="1"/>
        <v/>
      </c>
      <c r="I24" s="13"/>
      <c r="J24" s="14">
        <f t="shared" si="7"/>
        <v>18</v>
      </c>
      <c r="K24" s="23" t="str">
        <f t="shared" si="2"/>
        <v/>
      </c>
      <c r="L24" s="23" t="str">
        <f t="shared" si="3"/>
        <v/>
      </c>
      <c r="M24" s="21"/>
      <c r="N24" s="21"/>
      <c r="O24" s="21"/>
      <c r="P24" s="25"/>
      <c r="Q24" s="24"/>
      <c r="R24" s="14" t="str">
        <f t="shared" si="4"/>
        <v/>
      </c>
      <c r="S24" s="67" t="str">
        <f t="shared" si="5"/>
        <v/>
      </c>
      <c r="T24" s="68" t="str">
        <f>IF(S24="","",VLOOKUP(S24,学校ﾏｽﾀｰ!$C$4:$AA$363,5,0))</f>
        <v/>
      </c>
      <c r="U24" s="66">
        <f t="shared" ca="1" si="0"/>
        <v>42551</v>
      </c>
    </row>
    <row r="25" spans="1:21" ht="15" customHeight="1" x14ac:dyDescent="0.15">
      <c r="A25" s="13"/>
      <c r="B25" s="14">
        <v>19</v>
      </c>
      <c r="C25" s="21"/>
      <c r="D25" s="21"/>
      <c r="E25" s="21"/>
      <c r="F25" s="21"/>
      <c r="G25" s="22" t="str">
        <f t="shared" si="6"/>
        <v/>
      </c>
      <c r="H25" s="22" t="str">
        <f t="shared" si="1"/>
        <v/>
      </c>
      <c r="I25" s="13"/>
      <c r="J25" s="14">
        <f t="shared" si="7"/>
        <v>19</v>
      </c>
      <c r="K25" s="27" t="str">
        <f t="shared" si="2"/>
        <v/>
      </c>
      <c r="L25" s="23" t="str">
        <f t="shared" si="3"/>
        <v/>
      </c>
      <c r="M25" s="21"/>
      <c r="N25" s="21"/>
      <c r="O25" s="21"/>
      <c r="P25" s="21"/>
      <c r="Q25" s="24"/>
      <c r="R25" s="14" t="str">
        <f t="shared" si="4"/>
        <v/>
      </c>
      <c r="S25" s="67" t="str">
        <f t="shared" si="5"/>
        <v/>
      </c>
      <c r="T25" s="68" t="str">
        <f>IF(S25="","",VLOOKUP(S25,学校ﾏｽﾀｰ!$C$4:$AA$363,5,0))</f>
        <v/>
      </c>
      <c r="U25" s="66">
        <f t="shared" ca="1" si="0"/>
        <v>42551</v>
      </c>
    </row>
    <row r="26" spans="1:21" ht="15" customHeight="1" x14ac:dyDescent="0.15">
      <c r="A26" s="13"/>
      <c r="B26" s="14">
        <v>20</v>
      </c>
      <c r="C26" s="21"/>
      <c r="D26" s="21"/>
      <c r="E26" s="21"/>
      <c r="F26" s="21"/>
      <c r="G26" s="22" t="str">
        <f t="shared" si="6"/>
        <v/>
      </c>
      <c r="H26" s="22" t="str">
        <f t="shared" si="1"/>
        <v/>
      </c>
      <c r="I26" s="13"/>
      <c r="J26" s="14">
        <f t="shared" si="7"/>
        <v>20</v>
      </c>
      <c r="K26" s="23" t="str">
        <f t="shared" si="2"/>
        <v/>
      </c>
      <c r="L26" s="23" t="str">
        <f t="shared" si="3"/>
        <v/>
      </c>
      <c r="M26" s="21"/>
      <c r="N26" s="21"/>
      <c r="O26" s="21"/>
      <c r="P26" s="25"/>
      <c r="Q26" s="24"/>
      <c r="R26" s="14" t="str">
        <f t="shared" si="4"/>
        <v/>
      </c>
      <c r="S26" s="67" t="str">
        <f t="shared" si="5"/>
        <v/>
      </c>
      <c r="T26" s="68" t="str">
        <f>IF(S26="","",VLOOKUP(S26,学校ﾏｽﾀｰ!$C$4:$AA$363,5,0))</f>
        <v/>
      </c>
      <c r="U26" s="66">
        <f t="shared" ca="1" si="0"/>
        <v>42551</v>
      </c>
    </row>
    <row r="27" spans="1:21" ht="15" customHeight="1" x14ac:dyDescent="0.15">
      <c r="A27" s="13"/>
      <c r="B27" s="14">
        <v>21</v>
      </c>
      <c r="C27" s="21"/>
      <c r="D27" s="21"/>
      <c r="E27" s="21"/>
      <c r="F27" s="21"/>
      <c r="G27" s="22" t="str">
        <f t="shared" si="6"/>
        <v/>
      </c>
      <c r="H27" s="22" t="str">
        <f t="shared" si="1"/>
        <v/>
      </c>
      <c r="I27" s="13"/>
      <c r="J27" s="14">
        <f t="shared" si="7"/>
        <v>21</v>
      </c>
      <c r="K27" s="23" t="str">
        <f t="shared" si="2"/>
        <v/>
      </c>
      <c r="L27" s="23" t="str">
        <f t="shared" si="3"/>
        <v/>
      </c>
      <c r="M27" s="21"/>
      <c r="N27" s="21"/>
      <c r="O27" s="21"/>
      <c r="P27" s="21"/>
      <c r="Q27" s="24"/>
      <c r="R27" s="14" t="str">
        <f t="shared" si="4"/>
        <v/>
      </c>
      <c r="S27" s="67" t="str">
        <f t="shared" si="5"/>
        <v/>
      </c>
      <c r="T27" s="68" t="str">
        <f>IF(S27="","",VLOOKUP(S27,学校ﾏｽﾀｰ!$C$4:$AA$363,5,0))</f>
        <v/>
      </c>
      <c r="U27" s="66">
        <f t="shared" ca="1" si="0"/>
        <v>42551</v>
      </c>
    </row>
    <row r="28" spans="1:21" ht="15" customHeight="1" x14ac:dyDescent="0.15">
      <c r="A28" s="13"/>
      <c r="B28" s="14">
        <v>22</v>
      </c>
      <c r="C28" s="21"/>
      <c r="D28" s="21"/>
      <c r="E28" s="21"/>
      <c r="F28" s="21"/>
      <c r="G28" s="22" t="str">
        <f t="shared" si="6"/>
        <v/>
      </c>
      <c r="H28" s="22" t="str">
        <f t="shared" si="1"/>
        <v/>
      </c>
      <c r="I28" s="13"/>
      <c r="J28" s="14">
        <f t="shared" si="7"/>
        <v>22</v>
      </c>
      <c r="K28" s="26" t="str">
        <f t="shared" si="2"/>
        <v/>
      </c>
      <c r="L28" s="23" t="str">
        <f t="shared" si="3"/>
        <v/>
      </c>
      <c r="M28" s="21"/>
      <c r="N28" s="21"/>
      <c r="O28" s="21"/>
      <c r="P28" s="25"/>
      <c r="Q28" s="24"/>
      <c r="R28" s="14" t="str">
        <f t="shared" si="4"/>
        <v/>
      </c>
      <c r="S28" s="67" t="str">
        <f t="shared" si="5"/>
        <v/>
      </c>
      <c r="T28" s="68" t="str">
        <f>IF(S28="","",VLOOKUP(S28,学校ﾏｽﾀｰ!$C$4:$AA$363,5,0))</f>
        <v/>
      </c>
      <c r="U28" s="66">
        <f t="shared" ca="1" si="0"/>
        <v>42551</v>
      </c>
    </row>
    <row r="29" spans="1:21" ht="15" customHeight="1" x14ac:dyDescent="0.15">
      <c r="A29" s="13"/>
      <c r="B29" s="14">
        <v>23</v>
      </c>
      <c r="C29" s="21"/>
      <c r="D29" s="21"/>
      <c r="E29" s="21"/>
      <c r="F29" s="21"/>
      <c r="G29" s="22" t="str">
        <f t="shared" si="6"/>
        <v/>
      </c>
      <c r="H29" s="22" t="str">
        <f t="shared" si="1"/>
        <v/>
      </c>
      <c r="I29" s="13"/>
      <c r="J29" s="14">
        <f t="shared" si="7"/>
        <v>23</v>
      </c>
      <c r="K29" s="23" t="str">
        <f t="shared" si="2"/>
        <v/>
      </c>
      <c r="L29" s="23" t="str">
        <f t="shared" si="3"/>
        <v/>
      </c>
      <c r="M29" s="21"/>
      <c r="N29" s="21"/>
      <c r="O29" s="21"/>
      <c r="P29" s="21"/>
      <c r="Q29" s="24"/>
      <c r="R29" s="14" t="str">
        <f t="shared" si="4"/>
        <v/>
      </c>
      <c r="S29" s="67" t="str">
        <f t="shared" si="5"/>
        <v/>
      </c>
      <c r="T29" s="68" t="str">
        <f>IF(S29="","",VLOOKUP(S29,学校ﾏｽﾀｰ!$C$4:$AA$363,5,0))</f>
        <v/>
      </c>
      <c r="U29" s="66">
        <f t="shared" ca="1" si="0"/>
        <v>42551</v>
      </c>
    </row>
    <row r="30" spans="1:21" ht="15" customHeight="1" x14ac:dyDescent="0.15">
      <c r="A30" s="13"/>
      <c r="B30" s="14">
        <v>24</v>
      </c>
      <c r="C30" s="21"/>
      <c r="D30" s="21"/>
      <c r="E30" s="21"/>
      <c r="F30" s="21"/>
      <c r="G30" s="22" t="str">
        <f t="shared" si="6"/>
        <v/>
      </c>
      <c r="H30" s="22" t="str">
        <f t="shared" si="1"/>
        <v/>
      </c>
      <c r="I30" s="13"/>
      <c r="J30" s="14">
        <f t="shared" si="7"/>
        <v>24</v>
      </c>
      <c r="K30" s="23" t="str">
        <f t="shared" si="2"/>
        <v/>
      </c>
      <c r="L30" s="23" t="str">
        <f t="shared" si="3"/>
        <v/>
      </c>
      <c r="M30" s="25"/>
      <c r="N30" s="21"/>
      <c r="O30" s="25"/>
      <c r="P30" s="21"/>
      <c r="Q30" s="24"/>
      <c r="R30" s="14" t="str">
        <f t="shared" si="4"/>
        <v/>
      </c>
      <c r="S30" s="67" t="str">
        <f t="shared" si="5"/>
        <v/>
      </c>
      <c r="T30" s="68" t="str">
        <f>IF(S30="","",VLOOKUP(S30,学校ﾏｽﾀｰ!$C$4:$AA$363,5,0))</f>
        <v/>
      </c>
      <c r="U30" s="66">
        <f t="shared" ca="1" si="0"/>
        <v>42551</v>
      </c>
    </row>
    <row r="31" spans="1:21" ht="15" customHeight="1" x14ac:dyDescent="0.15">
      <c r="A31" s="13"/>
      <c r="B31" s="14">
        <v>25</v>
      </c>
      <c r="C31" s="28"/>
      <c r="D31" s="21"/>
      <c r="E31" s="28"/>
      <c r="F31" s="21"/>
      <c r="G31" s="22" t="str">
        <f t="shared" si="6"/>
        <v/>
      </c>
      <c r="H31" s="22" t="str">
        <f t="shared" si="1"/>
        <v/>
      </c>
      <c r="I31" s="13"/>
      <c r="J31" s="14">
        <f t="shared" si="7"/>
        <v>25</v>
      </c>
      <c r="K31" s="29" t="str">
        <f t="shared" si="2"/>
        <v/>
      </c>
      <c r="L31" s="23" t="str">
        <f t="shared" si="3"/>
        <v/>
      </c>
      <c r="M31" s="28"/>
      <c r="N31" s="21"/>
      <c r="O31" s="28"/>
      <c r="P31" s="21"/>
      <c r="Q31" s="24"/>
      <c r="R31" s="14" t="str">
        <f t="shared" si="4"/>
        <v/>
      </c>
      <c r="S31" s="67" t="str">
        <f t="shared" si="5"/>
        <v/>
      </c>
      <c r="T31" s="68" t="str">
        <f>IF(S31="","",VLOOKUP(S31,学校ﾏｽﾀｰ!$C$4:$AA$363,5,0))</f>
        <v/>
      </c>
      <c r="U31" s="66">
        <f t="shared" ca="1" si="0"/>
        <v>42551</v>
      </c>
    </row>
    <row r="32" spans="1:21" ht="15" customHeight="1" x14ac:dyDescent="0.15">
      <c r="A32" s="13"/>
      <c r="B32" s="14">
        <v>26</v>
      </c>
      <c r="C32" s="21"/>
      <c r="D32" s="21"/>
      <c r="E32" s="21"/>
      <c r="F32" s="21"/>
      <c r="G32" s="22" t="str">
        <f t="shared" si="6"/>
        <v/>
      </c>
      <c r="H32" s="22" t="str">
        <f t="shared" si="1"/>
        <v/>
      </c>
      <c r="I32" s="13"/>
      <c r="J32" s="14">
        <f t="shared" si="7"/>
        <v>26</v>
      </c>
      <c r="K32" s="27" t="str">
        <f t="shared" si="2"/>
        <v/>
      </c>
      <c r="L32" s="23" t="str">
        <f t="shared" si="3"/>
        <v/>
      </c>
      <c r="M32" s="28"/>
      <c r="N32" s="21"/>
      <c r="O32" s="28"/>
      <c r="P32" s="21"/>
      <c r="Q32" s="24"/>
      <c r="R32" s="14" t="str">
        <f t="shared" si="4"/>
        <v/>
      </c>
      <c r="S32" s="67" t="str">
        <f t="shared" si="5"/>
        <v/>
      </c>
      <c r="T32" s="68" t="str">
        <f>IF(S32="","",VLOOKUP(S32,学校ﾏｽﾀｰ!$C$4:$AA$363,5,0))</f>
        <v/>
      </c>
      <c r="U32" s="66">
        <f t="shared" ca="1" si="0"/>
        <v>42551</v>
      </c>
    </row>
    <row r="33" spans="1:21" ht="15" customHeight="1" x14ac:dyDescent="0.15">
      <c r="A33" s="13"/>
      <c r="B33" s="14">
        <v>27</v>
      </c>
      <c r="C33" s="21"/>
      <c r="D33" s="21"/>
      <c r="E33" s="21"/>
      <c r="F33" s="21"/>
      <c r="G33" s="22" t="str">
        <f t="shared" si="6"/>
        <v/>
      </c>
      <c r="H33" s="22" t="str">
        <f t="shared" si="1"/>
        <v/>
      </c>
      <c r="I33" s="13"/>
      <c r="J33" s="14">
        <f t="shared" si="7"/>
        <v>27</v>
      </c>
      <c r="K33" s="23" t="str">
        <f t="shared" si="2"/>
        <v/>
      </c>
      <c r="L33" s="23" t="str">
        <f t="shared" si="3"/>
        <v/>
      </c>
      <c r="M33" s="21"/>
      <c r="N33" s="21"/>
      <c r="O33" s="21"/>
      <c r="P33" s="25"/>
      <c r="Q33" s="24"/>
      <c r="R33" s="14" t="str">
        <f t="shared" si="4"/>
        <v/>
      </c>
      <c r="S33" s="67" t="str">
        <f t="shared" si="5"/>
        <v/>
      </c>
      <c r="T33" s="68" t="str">
        <f>IF(S33="","",VLOOKUP(S33,学校ﾏｽﾀｰ!$C$4:$AA$363,5,0))</f>
        <v/>
      </c>
      <c r="U33" s="66">
        <f t="shared" ca="1" si="0"/>
        <v>42551</v>
      </c>
    </row>
    <row r="34" spans="1:21" ht="15" customHeight="1" x14ac:dyDescent="0.15">
      <c r="A34" s="13"/>
      <c r="B34" s="14">
        <v>28</v>
      </c>
      <c r="C34" s="21"/>
      <c r="D34" s="21"/>
      <c r="E34" s="21"/>
      <c r="F34" s="21"/>
      <c r="G34" s="22" t="str">
        <f t="shared" si="6"/>
        <v/>
      </c>
      <c r="H34" s="22" t="str">
        <f t="shared" si="1"/>
        <v/>
      </c>
      <c r="I34" s="13"/>
      <c r="J34" s="14">
        <f t="shared" si="7"/>
        <v>28</v>
      </c>
      <c r="K34" s="23" t="str">
        <f t="shared" si="2"/>
        <v/>
      </c>
      <c r="L34" s="23" t="str">
        <f t="shared" si="3"/>
        <v/>
      </c>
      <c r="M34" s="28"/>
      <c r="N34" s="21"/>
      <c r="O34" s="28"/>
      <c r="P34" s="21"/>
      <c r="Q34" s="24"/>
      <c r="R34" s="14" t="str">
        <f t="shared" si="4"/>
        <v/>
      </c>
      <c r="S34" s="67" t="str">
        <f t="shared" si="5"/>
        <v/>
      </c>
      <c r="T34" s="68" t="str">
        <f>IF(S34="","",VLOOKUP(S34,学校ﾏｽﾀｰ!$C$4:$AA$363,5,0))</f>
        <v/>
      </c>
      <c r="U34" s="66">
        <f t="shared" ca="1" si="0"/>
        <v>42551</v>
      </c>
    </row>
    <row r="35" spans="1:21" ht="15" customHeight="1" x14ac:dyDescent="0.15">
      <c r="A35" s="13"/>
      <c r="B35" s="14">
        <v>29</v>
      </c>
      <c r="C35" s="21"/>
      <c r="D35" s="21"/>
      <c r="E35" s="21"/>
      <c r="F35" s="21"/>
      <c r="G35" s="22" t="str">
        <f t="shared" si="6"/>
        <v/>
      </c>
      <c r="H35" s="22" t="str">
        <f t="shared" si="1"/>
        <v/>
      </c>
      <c r="I35" s="13"/>
      <c r="J35" s="14">
        <f t="shared" si="7"/>
        <v>29</v>
      </c>
      <c r="K35" s="23" t="str">
        <f t="shared" si="2"/>
        <v/>
      </c>
      <c r="L35" s="23" t="str">
        <f t="shared" si="3"/>
        <v/>
      </c>
      <c r="M35" s="28"/>
      <c r="N35" s="21"/>
      <c r="O35" s="28"/>
      <c r="P35" s="21"/>
      <c r="Q35" s="24"/>
      <c r="R35" s="14" t="str">
        <f t="shared" si="4"/>
        <v/>
      </c>
      <c r="S35" s="67" t="str">
        <f t="shared" si="5"/>
        <v/>
      </c>
      <c r="T35" s="68" t="str">
        <f>IF(S35="","",VLOOKUP(S35,学校ﾏｽﾀｰ!$C$4:$AA$363,5,0))</f>
        <v/>
      </c>
      <c r="U35" s="66">
        <f t="shared" ca="1" si="0"/>
        <v>42551</v>
      </c>
    </row>
    <row r="36" spans="1:21" ht="15" customHeight="1" x14ac:dyDescent="0.15">
      <c r="A36" s="13"/>
      <c r="B36" s="14">
        <v>30</v>
      </c>
      <c r="C36" s="21"/>
      <c r="D36" s="21"/>
      <c r="E36" s="21"/>
      <c r="F36" s="21"/>
      <c r="G36" s="22" t="str">
        <f t="shared" si="6"/>
        <v/>
      </c>
      <c r="H36" s="22" t="str">
        <f t="shared" si="1"/>
        <v/>
      </c>
      <c r="I36" s="13"/>
      <c r="J36" s="14">
        <f t="shared" si="7"/>
        <v>30</v>
      </c>
      <c r="K36" s="23" t="str">
        <f t="shared" si="2"/>
        <v/>
      </c>
      <c r="L36" s="23" t="str">
        <f t="shared" si="3"/>
        <v/>
      </c>
      <c r="M36" s="28"/>
      <c r="N36" s="21"/>
      <c r="O36" s="28"/>
      <c r="P36" s="21"/>
      <c r="Q36" s="24"/>
      <c r="R36" s="14" t="str">
        <f t="shared" si="4"/>
        <v/>
      </c>
      <c r="S36" s="67" t="str">
        <f t="shared" si="5"/>
        <v/>
      </c>
      <c r="T36" s="68" t="str">
        <f>IF(S36="","",VLOOKUP(S36,学校ﾏｽﾀｰ!$C$4:$AA$363,5,0))</f>
        <v/>
      </c>
      <c r="U36" s="66">
        <f t="shared" ca="1" si="0"/>
        <v>42551</v>
      </c>
    </row>
    <row r="37" spans="1:21" ht="15" customHeight="1" x14ac:dyDescent="0.15">
      <c r="A37" s="13"/>
      <c r="B37" s="14">
        <v>31</v>
      </c>
      <c r="C37" s="21"/>
      <c r="D37" s="21"/>
      <c r="E37" s="21"/>
      <c r="F37" s="21"/>
      <c r="G37" s="22" t="str">
        <f t="shared" si="6"/>
        <v/>
      </c>
      <c r="H37" s="22" t="str">
        <f t="shared" si="1"/>
        <v/>
      </c>
      <c r="I37" s="13"/>
      <c r="J37" s="14">
        <f t="shared" si="7"/>
        <v>31</v>
      </c>
      <c r="K37" s="23" t="str">
        <f t="shared" si="2"/>
        <v/>
      </c>
      <c r="L37" s="23" t="str">
        <f t="shared" si="3"/>
        <v/>
      </c>
      <c r="M37" s="21"/>
      <c r="N37" s="21"/>
      <c r="O37" s="21"/>
      <c r="P37" s="21"/>
      <c r="Q37" s="24"/>
      <c r="R37" s="14" t="str">
        <f t="shared" si="4"/>
        <v/>
      </c>
      <c r="S37" s="67" t="str">
        <f t="shared" si="5"/>
        <v/>
      </c>
      <c r="T37" s="68" t="str">
        <f>IF(S37="","",VLOOKUP(S37,学校ﾏｽﾀｰ!$C$4:$AA$363,5,0))</f>
        <v/>
      </c>
      <c r="U37" s="66">
        <f t="shared" ca="1" si="0"/>
        <v>42551</v>
      </c>
    </row>
    <row r="38" spans="1:21" ht="15" customHeight="1" x14ac:dyDescent="0.15">
      <c r="A38" s="13"/>
      <c r="B38" s="14">
        <v>32</v>
      </c>
      <c r="C38" s="21"/>
      <c r="D38" s="21"/>
      <c r="E38" s="21"/>
      <c r="F38" s="21"/>
      <c r="G38" s="22" t="str">
        <f t="shared" si="6"/>
        <v/>
      </c>
      <c r="H38" s="22" t="str">
        <f t="shared" si="1"/>
        <v/>
      </c>
      <c r="I38" s="13"/>
      <c r="J38" s="14">
        <f t="shared" si="7"/>
        <v>32</v>
      </c>
      <c r="K38" s="23" t="str">
        <f t="shared" si="2"/>
        <v/>
      </c>
      <c r="L38" s="23" t="str">
        <f t="shared" si="3"/>
        <v/>
      </c>
      <c r="M38" s="21"/>
      <c r="N38" s="21"/>
      <c r="O38" s="21"/>
      <c r="P38" s="21"/>
      <c r="Q38" s="24"/>
      <c r="R38" s="14" t="str">
        <f t="shared" si="4"/>
        <v/>
      </c>
      <c r="S38" s="67" t="str">
        <f t="shared" si="5"/>
        <v/>
      </c>
      <c r="T38" s="68" t="str">
        <f>IF(S38="","",VLOOKUP(S38,学校ﾏｽﾀｰ!$C$4:$AA$363,5,0))</f>
        <v/>
      </c>
      <c r="U38" s="66">
        <f t="shared" ca="1" si="0"/>
        <v>42551</v>
      </c>
    </row>
    <row r="39" spans="1:21" ht="15" customHeight="1" x14ac:dyDescent="0.15">
      <c r="A39" s="13"/>
      <c r="B39" s="14">
        <v>33</v>
      </c>
      <c r="C39" s="21"/>
      <c r="D39" s="21"/>
      <c r="E39" s="21"/>
      <c r="F39" s="21"/>
      <c r="G39" s="22" t="str">
        <f t="shared" si="6"/>
        <v/>
      </c>
      <c r="H39" s="22" t="str">
        <f t="shared" si="1"/>
        <v/>
      </c>
      <c r="I39" s="13"/>
      <c r="J39" s="14">
        <f t="shared" si="7"/>
        <v>33</v>
      </c>
      <c r="K39" s="23" t="str">
        <f t="shared" si="2"/>
        <v/>
      </c>
      <c r="L39" s="23" t="str">
        <f t="shared" si="3"/>
        <v/>
      </c>
      <c r="M39" s="21"/>
      <c r="N39" s="21"/>
      <c r="O39" s="21"/>
      <c r="P39" s="25"/>
      <c r="Q39" s="24"/>
      <c r="R39" s="14" t="str">
        <f t="shared" si="4"/>
        <v/>
      </c>
      <c r="S39" s="67" t="str">
        <f t="shared" si="5"/>
        <v/>
      </c>
      <c r="T39" s="68" t="str">
        <f>IF(S39="","",VLOOKUP(S39,学校ﾏｽﾀｰ!$C$4:$AA$363,5,0))</f>
        <v/>
      </c>
      <c r="U39" s="66">
        <f t="shared" ca="1" si="0"/>
        <v>42551</v>
      </c>
    </row>
    <row r="40" spans="1:21" ht="15" customHeight="1" x14ac:dyDescent="0.15">
      <c r="A40" s="13"/>
      <c r="B40" s="14">
        <v>34</v>
      </c>
      <c r="C40" s="21"/>
      <c r="D40" s="21"/>
      <c r="E40" s="21"/>
      <c r="F40" s="21"/>
      <c r="G40" s="22" t="str">
        <f t="shared" si="6"/>
        <v/>
      </c>
      <c r="H40" s="22" t="str">
        <f t="shared" si="1"/>
        <v/>
      </c>
      <c r="I40" s="13"/>
      <c r="J40" s="14">
        <f t="shared" si="7"/>
        <v>34</v>
      </c>
      <c r="K40" s="23" t="str">
        <f t="shared" si="2"/>
        <v/>
      </c>
      <c r="L40" s="23" t="str">
        <f t="shared" si="3"/>
        <v/>
      </c>
      <c r="M40" s="28"/>
      <c r="N40" s="21"/>
      <c r="O40" s="28"/>
      <c r="P40" s="21"/>
      <c r="Q40" s="24"/>
      <c r="R40" s="14" t="str">
        <f t="shared" si="4"/>
        <v/>
      </c>
      <c r="S40" s="67" t="str">
        <f t="shared" si="5"/>
        <v/>
      </c>
      <c r="T40" s="68" t="str">
        <f>IF(S40="","",VLOOKUP(S40,学校ﾏｽﾀｰ!$C$4:$AA$363,5,0))</f>
        <v/>
      </c>
      <c r="U40" s="66">
        <f t="shared" ca="1" si="0"/>
        <v>42551</v>
      </c>
    </row>
    <row r="41" spans="1:21" ht="15" customHeight="1" x14ac:dyDescent="0.15">
      <c r="A41" s="13"/>
      <c r="B41" s="14">
        <v>35</v>
      </c>
      <c r="C41" s="21"/>
      <c r="D41" s="21"/>
      <c r="E41" s="25"/>
      <c r="F41" s="25"/>
      <c r="G41" s="22" t="str">
        <f t="shared" si="6"/>
        <v/>
      </c>
      <c r="H41" s="22" t="str">
        <f t="shared" si="1"/>
        <v/>
      </c>
      <c r="I41" s="13"/>
      <c r="J41" s="14">
        <f t="shared" si="7"/>
        <v>35</v>
      </c>
      <c r="K41" s="23" t="str">
        <f t="shared" si="2"/>
        <v/>
      </c>
      <c r="L41" s="23" t="str">
        <f t="shared" si="3"/>
        <v/>
      </c>
      <c r="M41" s="21"/>
      <c r="N41" s="21"/>
      <c r="O41" s="21"/>
      <c r="P41" s="25"/>
      <c r="Q41" s="24"/>
      <c r="R41" s="14" t="str">
        <f t="shared" si="4"/>
        <v/>
      </c>
      <c r="S41" s="67" t="str">
        <f t="shared" si="5"/>
        <v/>
      </c>
      <c r="T41" s="68" t="str">
        <f>IF(S41="","",VLOOKUP(S41,学校ﾏｽﾀｰ!$C$4:$AA$363,5,0))</f>
        <v/>
      </c>
      <c r="U41" s="66">
        <f t="shared" ca="1" si="0"/>
        <v>42551</v>
      </c>
    </row>
    <row r="42" spans="1:21" ht="15" customHeight="1" x14ac:dyDescent="0.15">
      <c r="A42" s="13"/>
      <c r="B42" s="14">
        <v>36</v>
      </c>
      <c r="C42" s="21"/>
      <c r="D42" s="21"/>
      <c r="E42" s="21"/>
      <c r="F42" s="21"/>
      <c r="G42" s="22" t="str">
        <f t="shared" si="6"/>
        <v/>
      </c>
      <c r="H42" s="22" t="str">
        <f t="shared" si="1"/>
        <v/>
      </c>
      <c r="I42" s="13"/>
      <c r="J42" s="14">
        <f t="shared" si="7"/>
        <v>36</v>
      </c>
      <c r="K42" s="23" t="str">
        <f t="shared" si="2"/>
        <v/>
      </c>
      <c r="L42" s="23" t="str">
        <f t="shared" si="3"/>
        <v/>
      </c>
      <c r="M42" s="21"/>
      <c r="N42" s="21"/>
      <c r="O42" s="28"/>
      <c r="P42" s="21"/>
      <c r="Q42" s="24"/>
      <c r="R42" s="14" t="str">
        <f t="shared" si="4"/>
        <v/>
      </c>
      <c r="S42" s="67" t="str">
        <f t="shared" si="5"/>
        <v/>
      </c>
      <c r="T42" s="68" t="str">
        <f>IF(S42="","",VLOOKUP(S42,学校ﾏｽﾀｰ!$C$4:$AA$363,5,0))</f>
        <v/>
      </c>
      <c r="U42" s="66">
        <f t="shared" ca="1" si="0"/>
        <v>42551</v>
      </c>
    </row>
    <row r="43" spans="1:21" ht="15" customHeight="1" x14ac:dyDescent="0.15">
      <c r="A43" s="13"/>
      <c r="B43" s="14">
        <v>37</v>
      </c>
      <c r="C43" s="21"/>
      <c r="D43" s="21"/>
      <c r="E43" s="21"/>
      <c r="F43" s="21"/>
      <c r="G43" s="22" t="str">
        <f t="shared" si="6"/>
        <v/>
      </c>
      <c r="H43" s="22" t="str">
        <f t="shared" si="1"/>
        <v/>
      </c>
      <c r="I43" s="13"/>
      <c r="J43" s="14">
        <f t="shared" si="7"/>
        <v>37</v>
      </c>
      <c r="K43" s="23" t="str">
        <f t="shared" si="2"/>
        <v/>
      </c>
      <c r="L43" s="23" t="str">
        <f t="shared" si="3"/>
        <v/>
      </c>
      <c r="M43" s="21"/>
      <c r="N43" s="21"/>
      <c r="O43" s="21"/>
      <c r="P43" s="21"/>
      <c r="Q43" s="24"/>
      <c r="R43" s="14" t="str">
        <f t="shared" si="4"/>
        <v/>
      </c>
      <c r="S43" s="67" t="str">
        <f t="shared" si="5"/>
        <v/>
      </c>
      <c r="T43" s="68" t="str">
        <f>IF(S43="","",VLOOKUP(S43,学校ﾏｽﾀｰ!$C$4:$AA$363,5,0))</f>
        <v/>
      </c>
      <c r="U43" s="66">
        <f t="shared" ca="1" si="0"/>
        <v>42551</v>
      </c>
    </row>
    <row r="44" spans="1:21" ht="15" customHeight="1" x14ac:dyDescent="0.15">
      <c r="A44" s="13"/>
      <c r="B44" s="14">
        <v>38</v>
      </c>
      <c r="C44" s="21"/>
      <c r="D44" s="21"/>
      <c r="E44" s="21"/>
      <c r="F44" s="21"/>
      <c r="G44" s="22" t="str">
        <f t="shared" si="6"/>
        <v/>
      </c>
      <c r="H44" s="22" t="str">
        <f t="shared" si="1"/>
        <v/>
      </c>
      <c r="I44" s="13"/>
      <c r="J44" s="14">
        <f t="shared" si="7"/>
        <v>38</v>
      </c>
      <c r="K44" s="23" t="str">
        <f t="shared" si="2"/>
        <v/>
      </c>
      <c r="L44" s="23" t="str">
        <f t="shared" si="3"/>
        <v/>
      </c>
      <c r="M44" s="21"/>
      <c r="N44" s="21"/>
      <c r="O44" s="21"/>
      <c r="P44" s="21"/>
      <c r="Q44" s="24"/>
      <c r="R44" s="14" t="str">
        <f t="shared" si="4"/>
        <v/>
      </c>
      <c r="S44" s="67" t="str">
        <f t="shared" si="5"/>
        <v/>
      </c>
      <c r="T44" s="68" t="str">
        <f>IF(S44="","",VLOOKUP(S44,学校ﾏｽﾀｰ!$C$4:$AA$363,5,0))</f>
        <v/>
      </c>
      <c r="U44" s="66">
        <f t="shared" ca="1" si="0"/>
        <v>42551</v>
      </c>
    </row>
    <row r="45" spans="1:21" ht="15" customHeight="1" x14ac:dyDescent="0.15">
      <c r="A45" s="13"/>
      <c r="B45" s="14">
        <v>39</v>
      </c>
      <c r="C45" s="21"/>
      <c r="D45" s="21"/>
      <c r="E45" s="21"/>
      <c r="F45" s="21"/>
      <c r="G45" s="22" t="str">
        <f t="shared" si="6"/>
        <v/>
      </c>
      <c r="H45" s="22" t="str">
        <f t="shared" si="1"/>
        <v/>
      </c>
      <c r="I45" s="13"/>
      <c r="J45" s="14">
        <f t="shared" si="7"/>
        <v>39</v>
      </c>
      <c r="K45" s="23" t="str">
        <f t="shared" si="2"/>
        <v/>
      </c>
      <c r="L45" s="23" t="str">
        <f t="shared" si="3"/>
        <v/>
      </c>
      <c r="M45" s="21"/>
      <c r="N45" s="21"/>
      <c r="O45" s="21"/>
      <c r="P45" s="21"/>
      <c r="Q45" s="24"/>
      <c r="R45" s="14" t="str">
        <f t="shared" si="4"/>
        <v/>
      </c>
      <c r="S45" s="67" t="str">
        <f t="shared" si="5"/>
        <v/>
      </c>
      <c r="T45" s="68" t="str">
        <f>IF(S45="","",VLOOKUP(S45,学校ﾏｽﾀｰ!$C$4:$AA$363,5,0))</f>
        <v/>
      </c>
      <c r="U45" s="66">
        <f t="shared" ca="1" si="0"/>
        <v>42551</v>
      </c>
    </row>
    <row r="46" spans="1:21" ht="15" customHeight="1" x14ac:dyDescent="0.15">
      <c r="A46" s="13"/>
      <c r="B46" s="14">
        <v>40</v>
      </c>
      <c r="C46" s="21"/>
      <c r="D46" s="21"/>
      <c r="E46" s="21"/>
      <c r="F46" s="21"/>
      <c r="G46" s="22" t="str">
        <f t="shared" si="6"/>
        <v/>
      </c>
      <c r="H46" s="22" t="str">
        <f t="shared" si="1"/>
        <v/>
      </c>
      <c r="I46" s="13"/>
      <c r="J46" s="14">
        <f t="shared" si="7"/>
        <v>40</v>
      </c>
      <c r="K46" s="23" t="str">
        <f t="shared" si="2"/>
        <v/>
      </c>
      <c r="L46" s="23" t="str">
        <f t="shared" si="3"/>
        <v/>
      </c>
      <c r="M46" s="21"/>
      <c r="N46" s="21"/>
      <c r="O46" s="21"/>
      <c r="P46" s="21"/>
      <c r="Q46" s="24"/>
      <c r="R46" s="14" t="str">
        <f t="shared" si="4"/>
        <v/>
      </c>
      <c r="S46" s="67" t="str">
        <f t="shared" si="5"/>
        <v/>
      </c>
      <c r="T46" s="68" t="str">
        <f>IF(S46="","",VLOOKUP(S46,学校ﾏｽﾀｰ!$C$4:$AA$363,5,0))</f>
        <v/>
      </c>
      <c r="U46" s="66">
        <f t="shared" ca="1" si="0"/>
        <v>42551</v>
      </c>
    </row>
    <row r="47" spans="1:21" ht="15" customHeight="1" x14ac:dyDescent="0.15">
      <c r="A47" s="13"/>
      <c r="B47" s="14">
        <v>41</v>
      </c>
      <c r="C47" s="21"/>
      <c r="D47" s="21"/>
      <c r="E47" s="21"/>
      <c r="F47" s="21"/>
      <c r="G47" s="22" t="str">
        <f t="shared" si="6"/>
        <v/>
      </c>
      <c r="H47" s="22" t="str">
        <f t="shared" si="1"/>
        <v/>
      </c>
      <c r="I47" s="13"/>
      <c r="J47" s="14">
        <f t="shared" si="7"/>
        <v>41</v>
      </c>
      <c r="K47" s="23" t="str">
        <f t="shared" si="2"/>
        <v/>
      </c>
      <c r="L47" s="23" t="str">
        <f t="shared" si="3"/>
        <v/>
      </c>
      <c r="M47" s="21"/>
      <c r="N47" s="21"/>
      <c r="O47" s="21"/>
      <c r="P47" s="25"/>
      <c r="Q47" s="24"/>
      <c r="R47" s="14" t="str">
        <f t="shared" si="4"/>
        <v/>
      </c>
      <c r="S47" s="67" t="str">
        <f t="shared" si="5"/>
        <v/>
      </c>
      <c r="T47" s="68" t="str">
        <f>IF(S47="","",VLOOKUP(S47,学校ﾏｽﾀｰ!$C$4:$AA$363,5,0))</f>
        <v/>
      </c>
      <c r="U47" s="66">
        <f t="shared" ca="1" si="0"/>
        <v>42551</v>
      </c>
    </row>
    <row r="48" spans="1:21" ht="15" customHeight="1" x14ac:dyDescent="0.15">
      <c r="A48" s="13"/>
      <c r="B48" s="14">
        <v>42</v>
      </c>
      <c r="C48" s="21"/>
      <c r="D48" s="21"/>
      <c r="E48" s="21"/>
      <c r="F48" s="21"/>
      <c r="G48" s="22" t="str">
        <f t="shared" si="6"/>
        <v/>
      </c>
      <c r="H48" s="22" t="str">
        <f t="shared" si="1"/>
        <v/>
      </c>
      <c r="I48" s="13"/>
      <c r="J48" s="14">
        <f t="shared" si="7"/>
        <v>42</v>
      </c>
      <c r="K48" s="23" t="str">
        <f t="shared" si="2"/>
        <v/>
      </c>
      <c r="L48" s="23" t="str">
        <f t="shared" si="3"/>
        <v/>
      </c>
      <c r="M48" s="21"/>
      <c r="N48" s="21"/>
      <c r="O48" s="21"/>
      <c r="P48" s="21"/>
      <c r="Q48" s="24"/>
      <c r="R48" s="14" t="str">
        <f t="shared" si="4"/>
        <v/>
      </c>
      <c r="S48" s="67" t="str">
        <f t="shared" si="5"/>
        <v/>
      </c>
      <c r="T48" s="68" t="str">
        <f>IF(S48="","",VLOOKUP(S48,学校ﾏｽﾀｰ!$C$4:$AA$363,5,0))</f>
        <v/>
      </c>
      <c r="U48" s="66">
        <f t="shared" ca="1" si="0"/>
        <v>42551</v>
      </c>
    </row>
    <row r="49" spans="1:21" ht="15" customHeight="1" x14ac:dyDescent="0.15">
      <c r="A49" s="13"/>
      <c r="B49" s="14">
        <v>43</v>
      </c>
      <c r="C49" s="21"/>
      <c r="D49" s="21"/>
      <c r="E49" s="21"/>
      <c r="F49" s="21"/>
      <c r="G49" s="22" t="str">
        <f t="shared" si="6"/>
        <v/>
      </c>
      <c r="H49" s="22" t="str">
        <f t="shared" si="1"/>
        <v/>
      </c>
      <c r="I49" s="13"/>
      <c r="J49" s="14">
        <f t="shared" si="7"/>
        <v>43</v>
      </c>
      <c r="K49" s="23" t="str">
        <f t="shared" si="2"/>
        <v/>
      </c>
      <c r="L49" s="23" t="str">
        <f t="shared" si="3"/>
        <v/>
      </c>
      <c r="M49" s="21"/>
      <c r="N49" s="21"/>
      <c r="O49" s="21"/>
      <c r="P49" s="25"/>
      <c r="Q49" s="24"/>
      <c r="R49" s="14" t="str">
        <f t="shared" si="4"/>
        <v/>
      </c>
      <c r="S49" s="67" t="str">
        <f t="shared" si="5"/>
        <v/>
      </c>
      <c r="T49" s="68" t="str">
        <f>IF(S49="","",VLOOKUP(S49,学校ﾏｽﾀｰ!$C$4:$AA$363,5,0))</f>
        <v/>
      </c>
      <c r="U49" s="66">
        <f t="shared" ca="1" si="0"/>
        <v>42551</v>
      </c>
    </row>
    <row r="50" spans="1:21" ht="15" customHeight="1" x14ac:dyDescent="0.15">
      <c r="A50" s="13"/>
      <c r="B50" s="14">
        <v>44</v>
      </c>
      <c r="C50" s="21"/>
      <c r="D50" s="21"/>
      <c r="E50" s="21"/>
      <c r="F50" s="21"/>
      <c r="G50" s="22" t="str">
        <f t="shared" si="6"/>
        <v/>
      </c>
      <c r="H50" s="22" t="str">
        <f t="shared" si="1"/>
        <v/>
      </c>
      <c r="I50" s="13"/>
      <c r="J50" s="14">
        <f t="shared" si="7"/>
        <v>44</v>
      </c>
      <c r="K50" s="23" t="str">
        <f t="shared" si="2"/>
        <v/>
      </c>
      <c r="L50" s="23" t="str">
        <f t="shared" si="3"/>
        <v/>
      </c>
      <c r="M50" s="25"/>
      <c r="N50" s="25"/>
      <c r="O50" s="25"/>
      <c r="P50" s="21"/>
      <c r="Q50" s="24"/>
      <c r="R50" s="14" t="str">
        <f t="shared" si="4"/>
        <v/>
      </c>
      <c r="S50" s="67" t="str">
        <f t="shared" si="5"/>
        <v/>
      </c>
      <c r="T50" s="68" t="str">
        <f>IF(S50="","",VLOOKUP(S50,学校ﾏｽﾀｰ!$C$4:$AA$363,5,0))</f>
        <v/>
      </c>
      <c r="U50" s="66">
        <f t="shared" ca="1" si="0"/>
        <v>42551</v>
      </c>
    </row>
    <row r="51" spans="1:21" ht="15" customHeight="1" x14ac:dyDescent="0.15">
      <c r="A51" s="13"/>
      <c r="B51" s="14">
        <v>45</v>
      </c>
      <c r="C51" s="21"/>
      <c r="D51" s="21"/>
      <c r="E51" s="21"/>
      <c r="F51" s="21"/>
      <c r="G51" s="22" t="str">
        <f t="shared" si="6"/>
        <v/>
      </c>
      <c r="H51" s="22" t="str">
        <f t="shared" si="1"/>
        <v/>
      </c>
      <c r="I51" s="13"/>
      <c r="J51" s="14">
        <f t="shared" si="7"/>
        <v>45</v>
      </c>
      <c r="K51" s="27" t="str">
        <f t="shared" si="2"/>
        <v/>
      </c>
      <c r="L51" s="23" t="str">
        <f t="shared" si="3"/>
        <v/>
      </c>
      <c r="M51" s="21"/>
      <c r="N51" s="21"/>
      <c r="O51" s="21"/>
      <c r="P51" s="25"/>
      <c r="Q51" s="24"/>
      <c r="R51" s="14" t="str">
        <f t="shared" si="4"/>
        <v/>
      </c>
      <c r="S51" s="67" t="str">
        <f t="shared" si="5"/>
        <v/>
      </c>
      <c r="T51" s="68" t="str">
        <f>IF(S51="","",VLOOKUP(S51,学校ﾏｽﾀｰ!$C$4:$AA$363,5,0))</f>
        <v/>
      </c>
      <c r="U51" s="66">
        <f t="shared" ca="1" si="0"/>
        <v>42551</v>
      </c>
    </row>
    <row r="52" spans="1:21" ht="15" customHeight="1" x14ac:dyDescent="0.15">
      <c r="A52" s="13"/>
      <c r="B52" s="14">
        <v>46</v>
      </c>
      <c r="C52" s="21"/>
      <c r="D52" s="21"/>
      <c r="E52" s="21"/>
      <c r="F52" s="21"/>
      <c r="G52" s="22" t="str">
        <f t="shared" si="6"/>
        <v/>
      </c>
      <c r="H52" s="22" t="str">
        <f t="shared" si="1"/>
        <v/>
      </c>
      <c r="I52" s="13"/>
      <c r="J52" s="14">
        <f t="shared" si="7"/>
        <v>46</v>
      </c>
      <c r="K52" s="23" t="str">
        <f t="shared" si="2"/>
        <v/>
      </c>
      <c r="L52" s="23" t="str">
        <f t="shared" si="3"/>
        <v/>
      </c>
      <c r="M52" s="21"/>
      <c r="N52" s="21"/>
      <c r="O52" s="21"/>
      <c r="P52" s="21"/>
      <c r="Q52" s="24"/>
      <c r="R52" s="14" t="str">
        <f t="shared" si="4"/>
        <v/>
      </c>
      <c r="S52" s="67" t="str">
        <f t="shared" si="5"/>
        <v/>
      </c>
      <c r="T52" s="68" t="str">
        <f>IF(S52="","",VLOOKUP(S52,学校ﾏｽﾀｰ!$C$4:$AA$363,5,0))</f>
        <v/>
      </c>
      <c r="U52" s="66">
        <f t="shared" ca="1" si="0"/>
        <v>42551</v>
      </c>
    </row>
    <row r="53" spans="1:21" ht="15" customHeight="1" x14ac:dyDescent="0.15">
      <c r="A53" s="13"/>
      <c r="B53" s="14">
        <v>47</v>
      </c>
      <c r="C53" s="21"/>
      <c r="D53" s="21"/>
      <c r="E53" s="21"/>
      <c r="F53" s="21"/>
      <c r="G53" s="22" t="str">
        <f t="shared" si="6"/>
        <v/>
      </c>
      <c r="H53" s="22" t="str">
        <f t="shared" si="1"/>
        <v/>
      </c>
      <c r="I53" s="13"/>
      <c r="J53" s="14">
        <f t="shared" si="7"/>
        <v>47</v>
      </c>
      <c r="K53" s="23" t="str">
        <f t="shared" si="2"/>
        <v/>
      </c>
      <c r="L53" s="23" t="str">
        <f t="shared" si="3"/>
        <v/>
      </c>
      <c r="M53" s="21"/>
      <c r="N53" s="21"/>
      <c r="O53" s="21"/>
      <c r="P53" s="25"/>
      <c r="Q53" s="24"/>
      <c r="R53" s="14" t="str">
        <f t="shared" si="4"/>
        <v/>
      </c>
      <c r="S53" s="67" t="str">
        <f t="shared" si="5"/>
        <v/>
      </c>
      <c r="T53" s="68" t="str">
        <f>IF(S53="","",VLOOKUP(S53,学校ﾏｽﾀｰ!$C$4:$AA$363,5,0))</f>
        <v/>
      </c>
      <c r="U53" s="66">
        <f t="shared" ca="1" si="0"/>
        <v>42551</v>
      </c>
    </row>
    <row r="54" spans="1:21" ht="15" customHeight="1" x14ac:dyDescent="0.15">
      <c r="A54" s="13"/>
      <c r="B54" s="14">
        <v>48</v>
      </c>
      <c r="C54" s="21"/>
      <c r="D54" s="21"/>
      <c r="E54" s="21"/>
      <c r="F54" s="21"/>
      <c r="G54" s="22" t="str">
        <f t="shared" si="6"/>
        <v/>
      </c>
      <c r="H54" s="22" t="str">
        <f t="shared" si="1"/>
        <v/>
      </c>
      <c r="I54" s="13"/>
      <c r="J54" s="14">
        <f t="shared" si="7"/>
        <v>48</v>
      </c>
      <c r="K54" s="23" t="str">
        <f t="shared" si="2"/>
        <v/>
      </c>
      <c r="L54" s="23" t="str">
        <f t="shared" si="3"/>
        <v/>
      </c>
      <c r="M54" s="28"/>
      <c r="N54" s="28"/>
      <c r="O54" s="28"/>
      <c r="P54" s="21"/>
      <c r="Q54" s="24"/>
      <c r="R54" s="14" t="str">
        <f t="shared" si="4"/>
        <v/>
      </c>
      <c r="S54" s="67" t="str">
        <f t="shared" si="5"/>
        <v/>
      </c>
      <c r="T54" s="68" t="str">
        <f>IF(S54="","",VLOOKUP(S54,学校ﾏｽﾀｰ!$C$4:$AA$363,5,0))</f>
        <v/>
      </c>
      <c r="U54" s="66">
        <f t="shared" ca="1" si="0"/>
        <v>42551</v>
      </c>
    </row>
    <row r="55" spans="1:21" ht="15" customHeight="1" x14ac:dyDescent="0.15">
      <c r="A55" s="13"/>
      <c r="B55" s="14">
        <v>49</v>
      </c>
      <c r="C55" s="28"/>
      <c r="D55" s="21"/>
      <c r="E55" s="28"/>
      <c r="F55" s="21"/>
      <c r="G55" s="22" t="str">
        <f t="shared" si="6"/>
        <v/>
      </c>
      <c r="H55" s="22" t="str">
        <f t="shared" si="1"/>
        <v/>
      </c>
      <c r="I55" s="13"/>
      <c r="J55" s="14">
        <f t="shared" si="7"/>
        <v>49</v>
      </c>
      <c r="K55" s="29" t="str">
        <f t="shared" si="2"/>
        <v/>
      </c>
      <c r="L55" s="23" t="str">
        <f t="shared" si="3"/>
        <v/>
      </c>
      <c r="M55" s="28"/>
      <c r="N55" s="28"/>
      <c r="O55" s="28"/>
      <c r="P55" s="21"/>
      <c r="Q55" s="24"/>
      <c r="R55" s="14" t="str">
        <f t="shared" si="4"/>
        <v/>
      </c>
      <c r="S55" s="67" t="str">
        <f t="shared" si="5"/>
        <v/>
      </c>
      <c r="T55" s="68" t="str">
        <f>IF(S55="","",VLOOKUP(S55,学校ﾏｽﾀｰ!$C$4:$AA$363,5,0))</f>
        <v/>
      </c>
      <c r="U55" s="66">
        <f t="shared" ca="1" si="0"/>
        <v>42551</v>
      </c>
    </row>
    <row r="56" spans="1:21" ht="15" customHeight="1" x14ac:dyDescent="0.15">
      <c r="A56" s="13"/>
      <c r="B56" s="14">
        <v>50</v>
      </c>
      <c r="C56" s="21"/>
      <c r="D56" s="21"/>
      <c r="E56" s="21"/>
      <c r="F56" s="21"/>
      <c r="G56" s="22" t="str">
        <f t="shared" si="6"/>
        <v/>
      </c>
      <c r="H56" s="22" t="str">
        <f t="shared" si="1"/>
        <v/>
      </c>
      <c r="I56" s="13"/>
      <c r="J56" s="14">
        <f t="shared" si="7"/>
        <v>50</v>
      </c>
      <c r="K56" s="23" t="str">
        <f t="shared" si="2"/>
        <v/>
      </c>
      <c r="L56" s="23" t="str">
        <f t="shared" si="3"/>
        <v/>
      </c>
      <c r="M56" s="28"/>
      <c r="N56" s="28"/>
      <c r="O56" s="28"/>
      <c r="P56" s="21"/>
      <c r="Q56" s="24"/>
      <c r="R56" s="14" t="str">
        <f t="shared" si="4"/>
        <v/>
      </c>
      <c r="S56" s="67" t="str">
        <f t="shared" si="5"/>
        <v/>
      </c>
      <c r="T56" s="68" t="str">
        <f>IF(S56="","",VLOOKUP(S56,学校ﾏｽﾀｰ!$C$4:$AA$363,5,0))</f>
        <v/>
      </c>
      <c r="U56" s="66">
        <f t="shared" ca="1" si="0"/>
        <v>42551</v>
      </c>
    </row>
    <row r="57" spans="1:21" x14ac:dyDescent="0.15">
      <c r="A57" s="13"/>
      <c r="B57" s="30" t="s">
        <v>856</v>
      </c>
      <c r="C57" s="30"/>
      <c r="D57" s="30"/>
      <c r="E57" s="30"/>
      <c r="F57" s="30"/>
      <c r="G57" s="31"/>
      <c r="H57" s="31"/>
      <c r="I57" s="13"/>
      <c r="J57" s="30" t="s">
        <v>856</v>
      </c>
      <c r="K57" s="30">
        <f>SUM(N57,P57)</f>
        <v>0</v>
      </c>
      <c r="L57" s="30"/>
      <c r="M57" s="30" t="s">
        <v>892</v>
      </c>
      <c r="N57" s="30">
        <f>COUNTIF(P7:P56,"1")</f>
        <v>0</v>
      </c>
      <c r="O57" s="30" t="s">
        <v>893</v>
      </c>
      <c r="P57" s="30">
        <f>COUNTIF(P7:P56,"2")</f>
        <v>0</v>
      </c>
      <c r="Q57" s="30"/>
      <c r="R57" s="30"/>
      <c r="S57" s="30"/>
      <c r="T57" s="30"/>
    </row>
  </sheetData>
  <sheetProtection sheet="1" objects="1" scenarios="1"/>
  <mergeCells count="3">
    <mergeCell ref="A1:Q1"/>
    <mergeCell ref="B2:F4"/>
    <mergeCell ref="J3:M3"/>
  </mergeCells>
  <phoneticPr fontId="2"/>
  <dataValidations count="3">
    <dataValidation imeMode="hiragana" allowBlank="1" showInputMessage="1" showErrorMessage="1" sqref="C7:F56 N7:N56"/>
    <dataValidation imeMode="halfAlpha" allowBlank="1" showInputMessage="1" showErrorMessage="1" sqref="M7:M56 O7:Q56"/>
    <dataValidation imeMode="off" allowBlank="1" showInputMessage="1" showErrorMessage="1" sqref="K7:L56"/>
  </dataValidations>
  <pageMargins left="0.24" right="0.21" top="0.25" bottom="0.32" header="0.25" footer="0.3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2"/>
  <sheetViews>
    <sheetView showZeros="0" zoomScale="80" zoomScaleNormal="80" zoomScaleSheetLayoutView="100" workbookViewId="0">
      <selection activeCell="Q10" sqref="Q10"/>
    </sheetView>
  </sheetViews>
  <sheetFormatPr defaultRowHeight="13.5" x14ac:dyDescent="0.15"/>
  <cols>
    <col min="1" max="1" width="2.5" style="98" customWidth="1"/>
    <col min="2" max="3" width="9" style="98"/>
    <col min="4" max="4" width="10" style="98" customWidth="1"/>
    <col min="5" max="5" width="2.75" style="98" customWidth="1"/>
    <col min="6" max="6" width="10" style="98" customWidth="1"/>
    <col min="7" max="7" width="2.75" style="98" customWidth="1"/>
    <col min="8" max="8" width="10" style="98" customWidth="1"/>
    <col min="9" max="9" width="2.75" style="98" customWidth="1"/>
    <col min="10" max="10" width="10" style="98" customWidth="1"/>
    <col min="11" max="11" width="2.75" style="98" customWidth="1"/>
    <col min="12" max="12" width="10.625" style="98" customWidth="1"/>
    <col min="13" max="13" width="6.75" style="98" customWidth="1"/>
    <col min="14" max="14" width="9" style="98"/>
    <col min="15" max="15" width="1.75" style="98" customWidth="1"/>
    <col min="16" max="16" width="9" style="98"/>
    <col min="17" max="19" width="13.625" style="98" customWidth="1"/>
    <col min="20" max="22" width="9" style="98"/>
    <col min="23" max="23" width="4" style="98" customWidth="1"/>
    <col min="24" max="24" width="11.75" style="98" customWidth="1"/>
    <col min="25" max="27" width="3.875" style="98" customWidth="1"/>
    <col min="28" max="16384" width="9" style="98"/>
  </cols>
  <sheetData>
    <row r="1" spans="2:27" ht="14.25" thickBot="1" x14ac:dyDescent="0.2">
      <c r="C1" s="99"/>
      <c r="W1" s="98" t="s">
        <v>1132</v>
      </c>
    </row>
    <row r="2" spans="2:27" x14ac:dyDescent="0.15">
      <c r="B2" s="257" t="str">
        <f>DBCS(CONCATENATE(メインシート!$B$2,メインシート!$C$2,メインシート!$D$2," ",メインシート!$B$3,メインシート!$C$3,メインシート!$D$3," ",メインシート!$F$3))</f>
        <v>平成２８年度　第３９回　東北中学校柔道大会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  <c r="W2" s="100" t="s">
        <v>1126</v>
      </c>
      <c r="X2" s="100" t="s">
        <v>1127</v>
      </c>
      <c r="Y2" s="100" t="s">
        <v>1128</v>
      </c>
      <c r="Z2" s="100" t="s">
        <v>1129</v>
      </c>
      <c r="AA2" s="100" t="s">
        <v>1130</v>
      </c>
    </row>
    <row r="3" spans="2:27" ht="14.25" thickBot="1" x14ac:dyDescent="0.2">
      <c r="B3" s="260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2"/>
      <c r="W3" s="101">
        <v>1</v>
      </c>
      <c r="X3" s="101" t="str">
        <f>IF(VLOOKUP(W3,名簿ﾏｽﾀｰ!$J$7:$Q$56,2,0)="","",VLOOKUP(W3,名簿ﾏｽﾀｰ!$J$7:$Q$56,2,0))</f>
        <v/>
      </c>
      <c r="Y3" s="102" t="str">
        <f>IF(VLOOKUP(W3,名簿ﾏｽﾀｰ!$J$7:$Q$56,7,0)="","",VLOOKUP(W3,名簿ﾏｽﾀｰ!$J$7:$Q$56,7,0))</f>
        <v/>
      </c>
      <c r="Z3" s="102" t="str">
        <f>IF(X3="","",IF($Y3=1,COUNTIF(入力ﾌｫｰﾑ!$U$3:$U$10,$W3)+COUNTIF(入力ﾌｫｰﾑ!$U$20:$U$27,$W3),IF($Y3=2,"")))</f>
        <v/>
      </c>
      <c r="AA3" s="102" t="str">
        <f>IF(Y3="","",IF($Y3=2,COUNTIF(入力ﾌｫｰﾑ!$U$13:$U$17,$W3)+COUNTIF(入力ﾌｫｰﾑ!$U$30:$U$37,$W3),IF($Y3=1,"")))</f>
        <v/>
      </c>
    </row>
    <row r="4" spans="2:27" x14ac:dyDescent="0.15">
      <c r="C4" s="99"/>
      <c r="W4" s="101">
        <v>2</v>
      </c>
      <c r="X4" s="101" t="str">
        <f>IF(VLOOKUP(W4,名簿ﾏｽﾀｰ!$J$7:$Q$56,2,0)="","",VLOOKUP(W4,名簿ﾏｽﾀｰ!$J$7:$Q$56,2,0))</f>
        <v/>
      </c>
      <c r="Y4" s="102" t="str">
        <f>IF(VLOOKUP(W4,名簿ﾏｽﾀｰ!$J$7:$Q$56,7,0)="","",VLOOKUP(W4,名簿ﾏｽﾀｰ!$J$7:$Q$56,7,0))</f>
        <v/>
      </c>
      <c r="Z4" s="102" t="str">
        <f>IF(X4="","",IF($Y4=1,COUNTIF(入力ﾌｫｰﾑ!$U$3:$U$10,$W4)+COUNTIF(入力ﾌｫｰﾑ!$U$20:$U$27,$W4),IF($Y4=2,"")))</f>
        <v/>
      </c>
      <c r="AA4" s="102" t="str">
        <f>IF(Y4="","",IF($Y4=2,COUNTIF(入力ﾌｫｰﾑ!$U$13:$U$17,$W4)+COUNTIF(入力ﾌｫｰﾑ!$U$30:$U$37,$W4),IF($Y4=1,"")))</f>
        <v/>
      </c>
    </row>
    <row r="5" spans="2:27" x14ac:dyDescent="0.15">
      <c r="C5" s="99"/>
      <c r="W5" s="101">
        <v>3</v>
      </c>
      <c r="X5" s="101" t="str">
        <f>IF(VLOOKUP(W5,名簿ﾏｽﾀｰ!$J$7:$Q$56,2,0)="","",VLOOKUP(W5,名簿ﾏｽﾀｰ!$J$7:$Q$56,2,0))</f>
        <v/>
      </c>
      <c r="Y5" s="102" t="str">
        <f>IF(VLOOKUP(W5,名簿ﾏｽﾀｰ!$J$7:$Q$56,7,0)="","",VLOOKUP(W5,名簿ﾏｽﾀｰ!$J$7:$Q$56,7,0))</f>
        <v/>
      </c>
      <c r="Z5" s="102" t="str">
        <f>IF(X5="","",IF($Y5=1,COUNTIF(入力ﾌｫｰﾑ!$U$3:$U$10,$W5)+COUNTIF(入力ﾌｫｰﾑ!$U$20:$U$27,$W5),IF($Y5=2,"")))</f>
        <v/>
      </c>
      <c r="AA5" s="102" t="str">
        <f>IF(Y5="","",IF($Y5=2,COUNTIF(入力ﾌｫｰﾑ!$U$13:$U$17,$W5)+COUNTIF(入力ﾌｫｰﾑ!$U$30:$U$37,$W5),IF($Y5=1,"")))</f>
        <v/>
      </c>
    </row>
    <row r="6" spans="2:27" ht="14.25" thickBot="1" x14ac:dyDescent="0.2">
      <c r="C6" s="99"/>
      <c r="W6" s="101">
        <v>4</v>
      </c>
      <c r="X6" s="101" t="str">
        <f>IF(VLOOKUP(W6,名簿ﾏｽﾀｰ!$J$7:$Q$56,2,0)="","",VLOOKUP(W6,名簿ﾏｽﾀｰ!$J$7:$Q$56,2,0))</f>
        <v/>
      </c>
      <c r="Y6" s="102" t="str">
        <f>IF(VLOOKUP(W6,名簿ﾏｽﾀｰ!$J$7:$Q$56,7,0)="","",VLOOKUP(W6,名簿ﾏｽﾀｰ!$J$7:$Q$56,7,0))</f>
        <v/>
      </c>
      <c r="Z6" s="102" t="str">
        <f>IF(X6="","",IF($Y6=1,COUNTIF(入力ﾌｫｰﾑ!$U$3:$U$10,$W6)+COUNTIF(入力ﾌｫｰﾑ!$U$20:$U$27,$W6),IF($Y6=2,"")))</f>
        <v/>
      </c>
      <c r="AA6" s="102" t="str">
        <f>IF(Y6="","",IF($Y6=2,COUNTIF(入力ﾌｫｰﾑ!$U$13:$U$17,$W6)+COUNTIF(入力ﾌｫｰﾑ!$U$30:$U$37,$W6),IF($Y6=1,"")))</f>
        <v/>
      </c>
    </row>
    <row r="7" spans="2:27" ht="13.5" customHeight="1" x14ac:dyDescent="0.15">
      <c r="C7" s="263" t="s">
        <v>894</v>
      </c>
      <c r="D7" s="264"/>
      <c r="E7" s="264"/>
      <c r="F7" s="264"/>
      <c r="G7" s="264"/>
      <c r="H7" s="264"/>
      <c r="I7" s="264"/>
      <c r="J7" s="264"/>
      <c r="K7" s="264"/>
      <c r="L7" s="264"/>
      <c r="M7" s="265"/>
      <c r="W7" s="101">
        <v>5</v>
      </c>
      <c r="X7" s="101" t="str">
        <f>IF(VLOOKUP(W7,名簿ﾏｽﾀｰ!$J$7:$Q$56,2,0)="","",VLOOKUP(W7,名簿ﾏｽﾀｰ!$J$7:$Q$56,2,0))</f>
        <v/>
      </c>
      <c r="Y7" s="102" t="str">
        <f>IF(VLOOKUP(W7,名簿ﾏｽﾀｰ!$J$7:$Q$56,7,0)="","",VLOOKUP(W7,名簿ﾏｽﾀｰ!$J$7:$Q$56,7,0))</f>
        <v/>
      </c>
      <c r="Z7" s="102" t="str">
        <f>IF(X7="","",IF($Y7=1,COUNTIF(入力ﾌｫｰﾑ!$U$3:$U$10,$W7)+COUNTIF(入力ﾌｫｰﾑ!$U$20:$U$27,$W7),IF($Y7=2,"")))</f>
        <v/>
      </c>
      <c r="AA7" s="102" t="str">
        <f>IF(Y7="","",IF($Y7=2,COUNTIF(入力ﾌｫｰﾑ!$U$13:$U$17,$W7)+COUNTIF(入力ﾌｫｰﾑ!$U$30:$U$37,$W7),IF($Y7=1,"")))</f>
        <v/>
      </c>
    </row>
    <row r="8" spans="2:27" ht="14.25" customHeight="1" thickBot="1" x14ac:dyDescent="0.2">
      <c r="C8" s="266"/>
      <c r="D8" s="267"/>
      <c r="E8" s="267"/>
      <c r="F8" s="267"/>
      <c r="G8" s="267"/>
      <c r="H8" s="267"/>
      <c r="I8" s="267"/>
      <c r="J8" s="267"/>
      <c r="K8" s="267"/>
      <c r="L8" s="267"/>
      <c r="M8" s="268"/>
      <c r="W8" s="101">
        <v>6</v>
      </c>
      <c r="X8" s="101" t="str">
        <f>IF(VLOOKUP(W8,名簿ﾏｽﾀｰ!$J$7:$Q$56,2,0)="","",VLOOKUP(W8,名簿ﾏｽﾀｰ!$J$7:$Q$56,2,0))</f>
        <v/>
      </c>
      <c r="Y8" s="102" t="str">
        <f>IF(VLOOKUP(W8,名簿ﾏｽﾀｰ!$J$7:$Q$56,7,0)="","",VLOOKUP(W8,名簿ﾏｽﾀｰ!$J$7:$Q$56,7,0))</f>
        <v/>
      </c>
      <c r="Z8" s="102" t="str">
        <f>IF(X8="","",IF($Y8=1,COUNTIF(入力ﾌｫｰﾑ!$U$3:$U$10,$W8)+COUNTIF(入力ﾌｫｰﾑ!$U$20:$U$27,$W8),IF($Y8=2,"")))</f>
        <v/>
      </c>
      <c r="AA8" s="102" t="str">
        <f>IF(Y8="","",IF($Y8=2,COUNTIF(入力ﾌｫｰﾑ!$U$13:$U$17,$W8)+COUNTIF(入力ﾌｫｰﾑ!$U$30:$U$37,$W8),IF($Y8=1,"")))</f>
        <v/>
      </c>
    </row>
    <row r="9" spans="2:27" ht="14.25" thickBot="1" x14ac:dyDescent="0.2">
      <c r="C9" s="99"/>
      <c r="W9" s="101">
        <v>7</v>
      </c>
      <c r="X9" s="101" t="str">
        <f>IF(VLOOKUP(W9,名簿ﾏｽﾀｰ!$J$7:$Q$56,2,0)="","",VLOOKUP(W9,名簿ﾏｽﾀｰ!$J$7:$Q$56,2,0))</f>
        <v/>
      </c>
      <c r="Y9" s="102" t="str">
        <f>IF(VLOOKUP(W9,名簿ﾏｽﾀｰ!$J$7:$Q$56,7,0)="","",VLOOKUP(W9,名簿ﾏｽﾀｰ!$J$7:$Q$56,7,0))</f>
        <v/>
      </c>
      <c r="Z9" s="102" t="str">
        <f>IF(X9="","",IF($Y9=1,COUNTIF(入力ﾌｫｰﾑ!$U$3:$U$10,$W9)+COUNTIF(入力ﾌｫｰﾑ!$U$20:$U$27,$W9),IF($Y9=2,"")))</f>
        <v/>
      </c>
      <c r="AA9" s="102" t="str">
        <f>IF(Y9="","",IF($Y9=2,COUNTIF(入力ﾌｫｰﾑ!$U$13:$U$17,$W9)+COUNTIF(入力ﾌｫｰﾑ!$U$30:$U$37,$W9),IF($Y9=1,"")))</f>
        <v/>
      </c>
    </row>
    <row r="10" spans="2:27" x14ac:dyDescent="0.15">
      <c r="C10" s="255" t="s">
        <v>895</v>
      </c>
      <c r="D10" s="269"/>
      <c r="E10" s="270"/>
      <c r="F10" s="274" t="str">
        <f>CONCATENATE(メインシート!$B$10,メインシート!$D$10)</f>
        <v>山形県</v>
      </c>
      <c r="G10" s="275"/>
      <c r="H10" s="275"/>
      <c r="I10" s="275"/>
      <c r="J10" s="275"/>
      <c r="K10" s="275"/>
      <c r="L10" s="275"/>
      <c r="M10" s="276"/>
      <c r="W10" s="101">
        <v>8</v>
      </c>
      <c r="X10" s="101" t="str">
        <f>IF(VLOOKUP(W10,名簿ﾏｽﾀｰ!$J$7:$Q$56,2,0)="","",VLOOKUP(W10,名簿ﾏｽﾀｰ!$J$7:$Q$56,2,0))</f>
        <v/>
      </c>
      <c r="Y10" s="102" t="str">
        <f>IF(VLOOKUP(W10,名簿ﾏｽﾀｰ!$J$7:$Q$56,7,0)="","",VLOOKUP(W10,名簿ﾏｽﾀｰ!$J$7:$Q$56,7,0))</f>
        <v/>
      </c>
      <c r="Z10" s="102" t="str">
        <f>IF(X10="","",IF($Y10=1,COUNTIF(入力ﾌｫｰﾑ!$U$3:$U$10,$W10)+COUNTIF(入力ﾌｫｰﾑ!$U$20:$U$27,$W10),IF($Y10=2,"")))</f>
        <v/>
      </c>
      <c r="AA10" s="102" t="str">
        <f>IF(Y10="","",IF($Y10=2,COUNTIF(入力ﾌｫｰﾑ!$U$13:$U$17,$W10)+COUNTIF(入力ﾌｫｰﾑ!$U$30:$U$37,$W10),IF($Y10=1,"")))</f>
        <v/>
      </c>
    </row>
    <row r="11" spans="2:27" x14ac:dyDescent="0.15">
      <c r="C11" s="271"/>
      <c r="D11" s="272"/>
      <c r="E11" s="273"/>
      <c r="F11" s="277"/>
      <c r="G11" s="278"/>
      <c r="H11" s="278"/>
      <c r="I11" s="278"/>
      <c r="J11" s="278"/>
      <c r="K11" s="278"/>
      <c r="L11" s="278"/>
      <c r="M11" s="279"/>
      <c r="W11" s="101">
        <v>9</v>
      </c>
      <c r="X11" s="101" t="str">
        <f>IF(VLOOKUP(W11,名簿ﾏｽﾀｰ!$J$7:$Q$56,2,0)="","",VLOOKUP(W11,名簿ﾏｽﾀｰ!$J$7:$Q$56,2,0))</f>
        <v/>
      </c>
      <c r="Y11" s="102" t="str">
        <f>IF(VLOOKUP(W11,名簿ﾏｽﾀｰ!$J$7:$Q$56,7,0)="","",VLOOKUP(W11,名簿ﾏｽﾀｰ!$J$7:$Q$56,7,0))</f>
        <v/>
      </c>
      <c r="Z11" s="102" t="str">
        <f>IF(X11="","",IF($Y11=1,COUNTIF(入力ﾌｫｰﾑ!$U$3:$U$10,$W11)+COUNTIF(入力ﾌｫｰﾑ!$U$20:$U$27,$W11),IF($Y11=2,"")))</f>
        <v/>
      </c>
      <c r="AA11" s="102" t="str">
        <f>IF(Y11="","",IF($Y11=2,COUNTIF(入力ﾌｫｰﾑ!$U$13:$U$17,$W11)+COUNTIF(入力ﾌｫｰﾑ!$U$30:$U$37,$W11),IF($Y11=1,"")))</f>
        <v/>
      </c>
    </row>
    <row r="12" spans="2:27" ht="13.5" customHeight="1" x14ac:dyDescent="0.15">
      <c r="C12" s="280" t="s">
        <v>896</v>
      </c>
      <c r="D12" s="281"/>
      <c r="E12" s="282"/>
      <c r="F12" s="284" t="str">
        <f>メインシート!$H$6</f>
        <v/>
      </c>
      <c r="G12" s="285"/>
      <c r="H12" s="285"/>
      <c r="I12" s="285"/>
      <c r="J12" s="285"/>
      <c r="K12" s="285"/>
      <c r="L12" s="285"/>
      <c r="M12" s="286"/>
      <c r="W12" s="101">
        <v>10</v>
      </c>
      <c r="X12" s="101" t="str">
        <f>IF(VLOOKUP(W12,名簿ﾏｽﾀｰ!$J$7:$Q$56,2,0)="","",VLOOKUP(W12,名簿ﾏｽﾀｰ!$J$7:$Q$56,2,0))</f>
        <v/>
      </c>
      <c r="Y12" s="102" t="str">
        <f>IF(VLOOKUP(W12,名簿ﾏｽﾀｰ!$J$7:$Q$56,7,0)="","",VLOOKUP(W12,名簿ﾏｽﾀｰ!$J$7:$Q$56,7,0))</f>
        <v/>
      </c>
      <c r="Z12" s="102" t="str">
        <f>IF(X12="","",IF($Y12=1,COUNTIF(入力ﾌｫｰﾑ!$U$3:$U$10,$W12)+COUNTIF(入力ﾌｫｰﾑ!$U$20:$U$27,$W12),IF($Y12=2,"")))</f>
        <v/>
      </c>
      <c r="AA12" s="102" t="str">
        <f>IF(Y12="","",IF($Y12=2,COUNTIF(入力ﾌｫｰﾑ!$U$13:$U$17,$W12)+COUNTIF(入力ﾌｫｰﾑ!$U$30:$U$37,$W12),IF($Y12=1,"")))</f>
        <v/>
      </c>
    </row>
    <row r="13" spans="2:27" ht="14.25" customHeight="1" thickBot="1" x14ac:dyDescent="0.2">
      <c r="C13" s="251"/>
      <c r="D13" s="252"/>
      <c r="E13" s="283"/>
      <c r="F13" s="287"/>
      <c r="G13" s="288"/>
      <c r="H13" s="288"/>
      <c r="I13" s="288"/>
      <c r="J13" s="288"/>
      <c r="K13" s="288"/>
      <c r="L13" s="288"/>
      <c r="M13" s="289"/>
      <c r="W13" s="101">
        <v>11</v>
      </c>
      <c r="X13" s="101" t="str">
        <f>IF(VLOOKUP(W13,名簿ﾏｽﾀｰ!$J$7:$Q$56,2,0)="","",VLOOKUP(W13,名簿ﾏｽﾀｰ!$J$7:$Q$56,2,0))</f>
        <v/>
      </c>
      <c r="Y13" s="102" t="str">
        <f>IF(VLOOKUP(W13,名簿ﾏｽﾀｰ!$J$7:$Q$56,7,0)="","",VLOOKUP(W13,名簿ﾏｽﾀｰ!$J$7:$Q$56,7,0))</f>
        <v/>
      </c>
      <c r="Z13" s="102" t="str">
        <f>IF(X13="","",IF($Y13=1,COUNTIF(入力ﾌｫｰﾑ!$U$3:$U$10,$W13)+COUNTIF(入力ﾌｫｰﾑ!$U$20:$U$27,$W13),IF($Y13=2,"")))</f>
        <v/>
      </c>
      <c r="AA13" s="102" t="str">
        <f>IF(Y13="","",IF($Y13=2,COUNTIF(入力ﾌｫｰﾑ!$U$13:$U$17,$W13)+COUNTIF(入力ﾌｫｰﾑ!$U$30:$U$37,$W13),IF($Y13=1,"")))</f>
        <v/>
      </c>
    </row>
    <row r="14" spans="2:27" ht="14.25" thickBot="1" x14ac:dyDescent="0.2">
      <c r="W14" s="101">
        <v>12</v>
      </c>
      <c r="X14" s="101" t="str">
        <f>IF(VLOOKUP(W14,名簿ﾏｽﾀｰ!$J$7:$Q$56,2,0)="","",VLOOKUP(W14,名簿ﾏｽﾀｰ!$J$7:$Q$56,2,0))</f>
        <v/>
      </c>
      <c r="Y14" s="102" t="str">
        <f>IF(VLOOKUP(W14,名簿ﾏｽﾀｰ!$J$7:$Q$56,7,0)="","",VLOOKUP(W14,名簿ﾏｽﾀｰ!$J$7:$Q$56,7,0))</f>
        <v/>
      </c>
      <c r="Z14" s="102" t="str">
        <f>IF(X14="","",IF($Y14=1,COUNTIF(入力ﾌｫｰﾑ!$U$3:$U$10,$W14)+COUNTIF(入力ﾌｫｰﾑ!$U$20:$U$27,$W14),IF($Y14=2,"")))</f>
        <v/>
      </c>
      <c r="AA14" s="102" t="str">
        <f>IF(Y14="","",IF($Y14=2,COUNTIF(入力ﾌｫｰﾑ!$U$13:$U$17,$W14)+COUNTIF(入力ﾌｫｰﾑ!$U$30:$U$37,$W14),IF($Y14=1,"")))</f>
        <v/>
      </c>
    </row>
    <row r="15" spans="2:27" x14ac:dyDescent="0.15">
      <c r="C15" s="290" t="s">
        <v>897</v>
      </c>
      <c r="D15" s="291"/>
      <c r="E15" s="291"/>
      <c r="F15" s="291"/>
      <c r="G15" s="291"/>
      <c r="H15" s="291"/>
      <c r="I15" s="291"/>
      <c r="J15" s="291"/>
      <c r="K15" s="291"/>
      <c r="L15" s="291"/>
      <c r="M15" s="292"/>
      <c r="W15" s="101">
        <v>13</v>
      </c>
      <c r="X15" s="101" t="str">
        <f>IF(VLOOKUP(W15,名簿ﾏｽﾀｰ!$J$7:$Q$56,2,0)="","",VLOOKUP(W15,名簿ﾏｽﾀｰ!$J$7:$Q$56,2,0))</f>
        <v/>
      </c>
      <c r="Y15" s="102" t="str">
        <f>IF(VLOOKUP(W15,名簿ﾏｽﾀｰ!$J$7:$Q$56,7,0)="","",VLOOKUP(W15,名簿ﾏｽﾀｰ!$J$7:$Q$56,7,0))</f>
        <v/>
      </c>
      <c r="Z15" s="102" t="str">
        <f>IF(X15="","",IF($Y15=1,COUNTIF(入力ﾌｫｰﾑ!$U$3:$U$10,$W15)+COUNTIF(入力ﾌｫｰﾑ!$U$20:$U$27,$W15),IF($Y15=2,"")))</f>
        <v/>
      </c>
      <c r="AA15" s="102" t="str">
        <f>IF(Y15="","",IF($Y15=2,COUNTIF(入力ﾌｫｰﾑ!$U$13:$U$17,$W15)+COUNTIF(入力ﾌｫｰﾑ!$U$30:$U$37,$W15),IF($Y15=1,"")))</f>
        <v/>
      </c>
    </row>
    <row r="16" spans="2:27" ht="14.25" thickBot="1" x14ac:dyDescent="0.2">
      <c r="C16" s="293"/>
      <c r="D16" s="294"/>
      <c r="E16" s="294"/>
      <c r="F16" s="294"/>
      <c r="G16" s="294"/>
      <c r="H16" s="294"/>
      <c r="I16" s="294"/>
      <c r="J16" s="294"/>
      <c r="K16" s="294"/>
      <c r="L16" s="294"/>
      <c r="M16" s="295"/>
      <c r="W16" s="101">
        <v>14</v>
      </c>
      <c r="X16" s="101" t="str">
        <f>IF(VLOOKUP(W16,名簿ﾏｽﾀｰ!$J$7:$Q$56,2,0)="","",VLOOKUP(W16,名簿ﾏｽﾀｰ!$J$7:$Q$56,2,0))</f>
        <v/>
      </c>
      <c r="Y16" s="102" t="str">
        <f>IF(VLOOKUP(W16,名簿ﾏｽﾀｰ!$J$7:$Q$56,7,0)="","",VLOOKUP(W16,名簿ﾏｽﾀｰ!$J$7:$Q$56,7,0))</f>
        <v/>
      </c>
      <c r="Z16" s="102" t="str">
        <f>IF(X16="","",IF($Y16=1,COUNTIF(入力ﾌｫｰﾑ!$U$3:$U$10,$W16)+COUNTIF(入力ﾌｫｰﾑ!$U$20:$U$27,$W16),IF($Y16=2,"")))</f>
        <v/>
      </c>
      <c r="AA16" s="102" t="str">
        <f>IF(Y16="","",IF($Y16=2,COUNTIF(入力ﾌｫｰﾑ!$U$13:$U$17,$W16)+COUNTIF(入力ﾌｫｰﾑ!$U$30:$U$37,$W16),IF($Y16=1,"")))</f>
        <v/>
      </c>
    </row>
    <row r="17" spans="3:27" ht="13.5" customHeight="1" x14ac:dyDescent="0.15">
      <c r="C17" s="296"/>
      <c r="D17" s="298" t="s">
        <v>898</v>
      </c>
      <c r="E17" s="299"/>
      <c r="F17" s="298" t="s">
        <v>899</v>
      </c>
      <c r="G17" s="299"/>
      <c r="H17" s="298" t="s">
        <v>900</v>
      </c>
      <c r="I17" s="299"/>
      <c r="J17" s="298" t="s">
        <v>901</v>
      </c>
      <c r="K17" s="299"/>
      <c r="L17" s="298" t="str">
        <f>CONCATENATE("参加費計
","④×",$R$19,"円")</f>
        <v>参加費計
④×2,000円</v>
      </c>
      <c r="M17" s="304"/>
      <c r="W17" s="101">
        <v>15</v>
      </c>
      <c r="X17" s="101" t="str">
        <f>IF(VLOOKUP(W17,名簿ﾏｽﾀｰ!$J$7:$Q$56,2,0)="","",VLOOKUP(W17,名簿ﾏｽﾀｰ!$J$7:$Q$56,2,0))</f>
        <v/>
      </c>
      <c r="Y17" s="102" t="str">
        <f>IF(VLOOKUP(W17,名簿ﾏｽﾀｰ!$J$7:$Q$56,7,0)="","",VLOOKUP(W17,名簿ﾏｽﾀｰ!$J$7:$Q$56,7,0))</f>
        <v/>
      </c>
      <c r="Z17" s="102" t="str">
        <f>IF(X17="","",IF($Y17=1,COUNTIF(入力ﾌｫｰﾑ!$U$3:$U$10,$W17)+COUNTIF(入力ﾌｫｰﾑ!$U$20:$U$27,$W17),IF($Y17=2,"")))</f>
        <v/>
      </c>
      <c r="AA17" s="102" t="str">
        <f>IF(Y17="","",IF($Y17=2,COUNTIF(入力ﾌｫｰﾑ!$U$13:$U$17,$W17)+COUNTIF(入力ﾌｫｰﾑ!$U$30:$U$37,$W17),IF($Y17=1,"")))</f>
        <v/>
      </c>
    </row>
    <row r="18" spans="3:27" ht="21" customHeight="1" x14ac:dyDescent="0.15">
      <c r="C18" s="297"/>
      <c r="D18" s="300"/>
      <c r="E18" s="301"/>
      <c r="F18" s="300"/>
      <c r="G18" s="301"/>
      <c r="H18" s="300"/>
      <c r="I18" s="301"/>
      <c r="J18" s="300"/>
      <c r="K18" s="301"/>
      <c r="L18" s="300"/>
      <c r="M18" s="305"/>
      <c r="Q18" s="103" t="s">
        <v>1112</v>
      </c>
      <c r="W18" s="101">
        <v>16</v>
      </c>
      <c r="X18" s="101" t="str">
        <f>IF(VLOOKUP(W18,名簿ﾏｽﾀｰ!$J$7:$Q$56,2,0)="","",VLOOKUP(W18,名簿ﾏｽﾀｰ!$J$7:$Q$56,2,0))</f>
        <v/>
      </c>
      <c r="Y18" s="102" t="str">
        <f>IF(VLOOKUP(W18,名簿ﾏｽﾀｰ!$J$7:$Q$56,7,0)="","",VLOOKUP(W18,名簿ﾏｽﾀｰ!$J$7:$Q$56,7,0))</f>
        <v/>
      </c>
      <c r="Z18" s="102" t="str">
        <f>IF(X18="","",IF($Y18=1,COUNTIF(入力ﾌｫｰﾑ!$U$3:$U$10,$W18)+COUNTIF(入力ﾌｫｰﾑ!$U$20:$U$27,$W18),IF($Y18=2,"")))</f>
        <v/>
      </c>
      <c r="AA18" s="102" t="str">
        <f>IF(Y18="","",IF($Y18=2,COUNTIF(入力ﾌｫｰﾑ!$U$13:$U$17,$W18)+COUNTIF(入力ﾌｫｰﾑ!$U$30:$U$37,$W18),IF($Y18=1,"")))</f>
        <v/>
      </c>
    </row>
    <row r="19" spans="3:27" ht="26.25" customHeight="1" x14ac:dyDescent="0.15">
      <c r="C19" s="297"/>
      <c r="D19" s="302"/>
      <c r="E19" s="303"/>
      <c r="F19" s="302"/>
      <c r="G19" s="303"/>
      <c r="H19" s="302"/>
      <c r="I19" s="303"/>
      <c r="J19" s="302"/>
      <c r="K19" s="303"/>
      <c r="L19" s="302"/>
      <c r="M19" s="306"/>
      <c r="Q19" s="104">
        <v>2000</v>
      </c>
      <c r="R19" s="105" t="s">
        <v>1113</v>
      </c>
      <c r="W19" s="101">
        <v>17</v>
      </c>
      <c r="X19" s="101" t="str">
        <f>IF(VLOOKUP(W19,名簿ﾏｽﾀｰ!$J$7:$Q$56,2,0)="","",VLOOKUP(W19,名簿ﾏｽﾀｰ!$J$7:$Q$56,2,0))</f>
        <v/>
      </c>
      <c r="Y19" s="102" t="str">
        <f>IF(VLOOKUP(W19,名簿ﾏｽﾀｰ!$J$7:$Q$56,7,0)="","",VLOOKUP(W19,名簿ﾏｽﾀｰ!$J$7:$Q$56,7,0))</f>
        <v/>
      </c>
      <c r="Z19" s="102" t="str">
        <f>IF(X19="","",IF($Y19=1,COUNTIF(入力ﾌｫｰﾑ!$U$3:$U$10,$W19)+COUNTIF(入力ﾌｫｰﾑ!$U$20:$U$27,$W19),IF($Y19=2,"")))</f>
        <v/>
      </c>
      <c r="AA19" s="102" t="str">
        <f>IF(Y19="","",IF($Y19=2,COUNTIF(入力ﾌｫｰﾑ!$U$13:$U$17,$W19)+COUNTIF(入力ﾌｫｰﾑ!$U$30:$U$37,$W19),IF($Y19=1,"")))</f>
        <v/>
      </c>
    </row>
    <row r="20" spans="3:27" x14ac:dyDescent="0.15">
      <c r="C20" s="307" t="s">
        <v>878</v>
      </c>
      <c r="D20" s="310">
        <f>Q22</f>
        <v>0</v>
      </c>
      <c r="E20" s="313" t="s">
        <v>902</v>
      </c>
      <c r="F20" s="310">
        <f>R22</f>
        <v>0</v>
      </c>
      <c r="G20" s="313" t="s">
        <v>902</v>
      </c>
      <c r="H20" s="310">
        <f>S22</f>
        <v>0</v>
      </c>
      <c r="I20" s="313" t="s">
        <v>902</v>
      </c>
      <c r="J20" s="316">
        <f>(D20+F20)-H20</f>
        <v>0</v>
      </c>
      <c r="K20" s="313" t="s">
        <v>902</v>
      </c>
      <c r="L20" s="319">
        <f>J20*$Q$19</f>
        <v>0</v>
      </c>
      <c r="M20" s="320"/>
      <c r="N20" s="106"/>
      <c r="W20" s="101">
        <v>18</v>
      </c>
      <c r="X20" s="101" t="str">
        <f>IF(VLOOKUP(W20,名簿ﾏｽﾀｰ!$J$7:$Q$56,2,0)="","",VLOOKUP(W20,名簿ﾏｽﾀｰ!$J$7:$Q$56,2,0))</f>
        <v/>
      </c>
      <c r="Y20" s="102" t="str">
        <f>IF(VLOOKUP(W20,名簿ﾏｽﾀｰ!$J$7:$Q$56,7,0)="","",VLOOKUP(W20,名簿ﾏｽﾀｰ!$J$7:$Q$56,7,0))</f>
        <v/>
      </c>
      <c r="Z20" s="102" t="str">
        <f>IF(X20="","",IF($Y20=1,COUNTIF(入力ﾌｫｰﾑ!$U$3:$U$10,$W20)+COUNTIF(入力ﾌｫｰﾑ!$U$20:$U$27,$W20),IF($Y20=2,"")))</f>
        <v/>
      </c>
      <c r="AA20" s="102" t="str">
        <f>IF(Y20="","",IF($Y20=2,COUNTIF(入力ﾌｫｰﾑ!$U$13:$U$17,$W20)+COUNTIF(入力ﾌｫｰﾑ!$U$30:$U$37,$W20),IF($Y20=1,"")))</f>
        <v/>
      </c>
    </row>
    <row r="21" spans="3:27" x14ac:dyDescent="0.15">
      <c r="C21" s="308"/>
      <c r="D21" s="311"/>
      <c r="E21" s="314"/>
      <c r="F21" s="311"/>
      <c r="G21" s="314"/>
      <c r="H21" s="311"/>
      <c r="I21" s="314"/>
      <c r="J21" s="317"/>
      <c r="K21" s="314"/>
      <c r="L21" s="321"/>
      <c r="M21" s="322"/>
      <c r="N21" s="106"/>
      <c r="Q21" s="102" t="s">
        <v>1121</v>
      </c>
      <c r="R21" s="102" t="s">
        <v>1122</v>
      </c>
      <c r="S21" s="102" t="s">
        <v>1123</v>
      </c>
      <c r="W21" s="101">
        <v>19</v>
      </c>
      <c r="X21" s="101" t="str">
        <f>IF(VLOOKUP(W21,名簿ﾏｽﾀｰ!$J$7:$Q$56,2,0)="","",VLOOKUP(W21,名簿ﾏｽﾀｰ!$J$7:$Q$56,2,0))</f>
        <v/>
      </c>
      <c r="Y21" s="102" t="str">
        <f>IF(VLOOKUP(W21,名簿ﾏｽﾀｰ!$J$7:$Q$56,7,0)="","",VLOOKUP(W21,名簿ﾏｽﾀｰ!$J$7:$Q$56,7,0))</f>
        <v/>
      </c>
      <c r="Z21" s="102" t="str">
        <f>IF(X21="","",IF($Y21=1,COUNTIF(入力ﾌｫｰﾑ!$U$3:$U$10,$W21)+COUNTIF(入力ﾌｫｰﾑ!$U$20:$U$27,$W21),IF($Y21=2,"")))</f>
        <v/>
      </c>
      <c r="AA21" s="102" t="str">
        <f>IF(Y21="","",IF($Y21=2,COUNTIF(入力ﾌｫｰﾑ!$U$13:$U$17,$W21)+COUNTIF(入力ﾌｫｰﾑ!$U$30:$U$37,$W21),IF($Y21=1,"")))</f>
        <v/>
      </c>
    </row>
    <row r="22" spans="3:27" x14ac:dyDescent="0.15">
      <c r="C22" s="308"/>
      <c r="D22" s="311"/>
      <c r="E22" s="314"/>
      <c r="F22" s="311"/>
      <c r="G22" s="314"/>
      <c r="H22" s="311"/>
      <c r="I22" s="314"/>
      <c r="J22" s="317"/>
      <c r="K22" s="314"/>
      <c r="L22" s="321"/>
      <c r="M22" s="322"/>
      <c r="N22" s="106"/>
      <c r="Q22" s="102">
        <f>IF(COUNTA(入力ﾌｫｰﾑ!$U$3:$U$10)=0,0,COUNTA(入力ﾌｫｰﾑ!$U$3:$U$10))</f>
        <v>0</v>
      </c>
      <c r="R22" s="102">
        <f>IF(COUNTA(入力ﾌｫｰﾑ!$U$20:$U$27)=0,0,COUNTA(入力ﾌｫｰﾑ!$U$20:$U$27))</f>
        <v>0</v>
      </c>
      <c r="S22" s="102">
        <f>COUNTIF($Z$3:$Z$52,2)</f>
        <v>0</v>
      </c>
      <c r="W22" s="101">
        <v>20</v>
      </c>
      <c r="X22" s="101" t="str">
        <f>IF(VLOOKUP(W22,名簿ﾏｽﾀｰ!$J$7:$Q$56,2,0)="","",VLOOKUP(W22,名簿ﾏｽﾀｰ!$J$7:$Q$56,2,0))</f>
        <v/>
      </c>
      <c r="Y22" s="102" t="str">
        <f>IF(VLOOKUP(W22,名簿ﾏｽﾀｰ!$J$7:$Q$56,7,0)="","",VLOOKUP(W22,名簿ﾏｽﾀｰ!$J$7:$Q$56,7,0))</f>
        <v/>
      </c>
      <c r="Z22" s="102" t="str">
        <f>IF(X22="","",IF($Y22=1,COUNTIF(入力ﾌｫｰﾑ!$U$3:$U$10,$W22)+COUNTIF(入力ﾌｫｰﾑ!$U$20:$U$27,$W22),IF($Y22=2,"")))</f>
        <v/>
      </c>
      <c r="AA22" s="102" t="str">
        <f>IF(Y22="","",IF($Y22=2,COUNTIF(入力ﾌｫｰﾑ!$U$13:$U$17,$W22)+COUNTIF(入力ﾌｫｰﾑ!$U$30:$U$37,$W22),IF($Y22=1,"")))</f>
        <v/>
      </c>
    </row>
    <row r="23" spans="3:27" x14ac:dyDescent="0.15">
      <c r="C23" s="309"/>
      <c r="D23" s="312"/>
      <c r="E23" s="315"/>
      <c r="F23" s="312"/>
      <c r="G23" s="315"/>
      <c r="H23" s="312"/>
      <c r="I23" s="315"/>
      <c r="J23" s="318"/>
      <c r="K23" s="315"/>
      <c r="L23" s="323"/>
      <c r="M23" s="324"/>
      <c r="N23" s="106"/>
      <c r="W23" s="101">
        <v>21</v>
      </c>
      <c r="X23" s="101" t="str">
        <f>IF(VLOOKUP(W23,名簿ﾏｽﾀｰ!$J$7:$Q$56,2,0)="","",VLOOKUP(W23,名簿ﾏｽﾀｰ!$J$7:$Q$56,2,0))</f>
        <v/>
      </c>
      <c r="Y23" s="102" t="str">
        <f>IF(VLOOKUP(W23,名簿ﾏｽﾀｰ!$J$7:$Q$56,7,0)="","",VLOOKUP(W23,名簿ﾏｽﾀｰ!$J$7:$Q$56,7,0))</f>
        <v/>
      </c>
      <c r="Z23" s="102" t="str">
        <f>IF(X23="","",IF($Y23=1,COUNTIF(入力ﾌｫｰﾑ!$U$3:$U$10,$W23)+COUNTIF(入力ﾌｫｰﾑ!$U$20:$U$27,$W23),IF($Y23=2,"")))</f>
        <v/>
      </c>
      <c r="AA23" s="102" t="str">
        <f>IF(Y23="","",IF($Y23=2,COUNTIF(入力ﾌｫｰﾑ!$U$13:$U$17,$W23)+COUNTIF(入力ﾌｫｰﾑ!$U$30:$U$37,$W23),IF($Y23=1,"")))</f>
        <v/>
      </c>
    </row>
    <row r="24" spans="3:27" ht="13.5" customHeight="1" x14ac:dyDescent="0.15">
      <c r="C24" s="307" t="s">
        <v>879</v>
      </c>
      <c r="D24" s="310">
        <f>Q26</f>
        <v>0</v>
      </c>
      <c r="E24" s="313" t="s">
        <v>902</v>
      </c>
      <c r="F24" s="310">
        <f>R26</f>
        <v>0</v>
      </c>
      <c r="G24" s="313" t="s">
        <v>902</v>
      </c>
      <c r="H24" s="310">
        <f>S26</f>
        <v>0</v>
      </c>
      <c r="I24" s="313" t="s">
        <v>902</v>
      </c>
      <c r="J24" s="316">
        <f>(D24+F24)-H24</f>
        <v>0</v>
      </c>
      <c r="K24" s="313" t="s">
        <v>902</v>
      </c>
      <c r="L24" s="319">
        <f>J24*$Q$19</f>
        <v>0</v>
      </c>
      <c r="M24" s="320"/>
      <c r="N24" s="106"/>
      <c r="W24" s="101">
        <v>22</v>
      </c>
      <c r="X24" s="101" t="str">
        <f>IF(VLOOKUP(W24,名簿ﾏｽﾀｰ!$J$7:$Q$56,2,0)="","",VLOOKUP(W24,名簿ﾏｽﾀｰ!$J$7:$Q$56,2,0))</f>
        <v/>
      </c>
      <c r="Y24" s="102" t="str">
        <f>IF(VLOOKUP(W24,名簿ﾏｽﾀｰ!$J$7:$Q$56,7,0)="","",VLOOKUP(W24,名簿ﾏｽﾀｰ!$J$7:$Q$56,7,0))</f>
        <v/>
      </c>
      <c r="Z24" s="102" t="str">
        <f>IF(X24="","",IF($Y24=1,COUNTIF(入力ﾌｫｰﾑ!$U$3:$U$10,$W24)+COUNTIF(入力ﾌｫｰﾑ!$U$20:$U$27,$W24),IF($Y24=2,"")))</f>
        <v/>
      </c>
      <c r="AA24" s="102" t="str">
        <f>IF(Y24="","",IF($Y24=2,COUNTIF(入力ﾌｫｰﾑ!$U$13:$U$17,$W24)+COUNTIF(入力ﾌｫｰﾑ!$U$30:$U$37,$W24),IF($Y24=1,"")))</f>
        <v/>
      </c>
    </row>
    <row r="25" spans="3:27" ht="13.5" customHeight="1" x14ac:dyDescent="0.15">
      <c r="C25" s="308"/>
      <c r="D25" s="311"/>
      <c r="E25" s="314"/>
      <c r="F25" s="311"/>
      <c r="G25" s="314"/>
      <c r="H25" s="311"/>
      <c r="I25" s="314"/>
      <c r="J25" s="317"/>
      <c r="K25" s="314"/>
      <c r="L25" s="321"/>
      <c r="M25" s="322"/>
      <c r="N25" s="106"/>
      <c r="Q25" s="102" t="s">
        <v>1124</v>
      </c>
      <c r="R25" s="102" t="s">
        <v>1125</v>
      </c>
      <c r="S25" s="102" t="s">
        <v>1123</v>
      </c>
      <c r="W25" s="101">
        <v>23</v>
      </c>
      <c r="X25" s="101" t="str">
        <f>IF(VLOOKUP(W25,名簿ﾏｽﾀｰ!$J$7:$Q$56,2,0)="","",VLOOKUP(W25,名簿ﾏｽﾀｰ!$J$7:$Q$56,2,0))</f>
        <v/>
      </c>
      <c r="Y25" s="102" t="str">
        <f>IF(VLOOKUP(W25,名簿ﾏｽﾀｰ!$J$7:$Q$56,7,0)="","",VLOOKUP(W25,名簿ﾏｽﾀｰ!$J$7:$Q$56,7,0))</f>
        <v/>
      </c>
      <c r="Z25" s="102" t="str">
        <f>IF(X25="","",IF($Y25=1,COUNTIF(入力ﾌｫｰﾑ!$U$3:$U$10,$W25)+COUNTIF(入力ﾌｫｰﾑ!$U$20:$U$27,$W25),IF($Y25=2,"")))</f>
        <v/>
      </c>
      <c r="AA25" s="102" t="str">
        <f>IF(Y25="","",IF($Y25=2,COUNTIF(入力ﾌｫｰﾑ!$U$13:$U$17,$W25)+COUNTIF(入力ﾌｫｰﾑ!$U$30:$U$37,$W25),IF($Y25=1,"")))</f>
        <v/>
      </c>
    </row>
    <row r="26" spans="3:27" ht="13.5" customHeight="1" x14ac:dyDescent="0.15">
      <c r="C26" s="308"/>
      <c r="D26" s="311"/>
      <c r="E26" s="314"/>
      <c r="F26" s="311"/>
      <c r="G26" s="314"/>
      <c r="H26" s="311"/>
      <c r="I26" s="314"/>
      <c r="J26" s="317"/>
      <c r="K26" s="314"/>
      <c r="L26" s="321"/>
      <c r="M26" s="322"/>
      <c r="N26" s="106"/>
      <c r="Q26" s="102">
        <f>IF(COUNTA(入力ﾌｫｰﾑ!$U$13:$U$17)=0,0,COUNTA(入力ﾌｫｰﾑ!$U$13:$U$17))</f>
        <v>0</v>
      </c>
      <c r="R26" s="102">
        <f>IF(COUNTA(入力ﾌｫｰﾑ!$U$30:$U$37)=0,0,COUNTA(入力ﾌｫｰﾑ!$U$30:$U$37))</f>
        <v>0</v>
      </c>
      <c r="S26" s="102">
        <f>COUNTIF($AA$3:$AA$52,2)</f>
        <v>0</v>
      </c>
      <c r="W26" s="101">
        <v>24</v>
      </c>
      <c r="X26" s="101" t="str">
        <f>IF(VLOOKUP(W26,名簿ﾏｽﾀｰ!$J$7:$Q$56,2,0)="","",VLOOKUP(W26,名簿ﾏｽﾀｰ!$J$7:$Q$56,2,0))</f>
        <v/>
      </c>
      <c r="Y26" s="102" t="str">
        <f>IF(VLOOKUP(W26,名簿ﾏｽﾀｰ!$J$7:$Q$56,7,0)="","",VLOOKUP(W26,名簿ﾏｽﾀｰ!$J$7:$Q$56,7,0))</f>
        <v/>
      </c>
      <c r="Z26" s="102" t="str">
        <f>IF(X26="","",IF($Y26=1,COUNTIF(入力ﾌｫｰﾑ!$U$3:$U$10,$W26)+COUNTIF(入力ﾌｫｰﾑ!$U$20:$U$27,$W26),IF($Y26=2,"")))</f>
        <v/>
      </c>
      <c r="AA26" s="102" t="str">
        <f>IF(Y26="","",IF($Y26=2,COUNTIF(入力ﾌｫｰﾑ!$U$13:$U$17,$W26)+COUNTIF(入力ﾌｫｰﾑ!$U$30:$U$37,$W26),IF($Y26=1,"")))</f>
        <v/>
      </c>
    </row>
    <row r="27" spans="3:27" ht="13.5" customHeight="1" thickBot="1" x14ac:dyDescent="0.2">
      <c r="C27" s="309"/>
      <c r="D27" s="312"/>
      <c r="E27" s="315"/>
      <c r="F27" s="312"/>
      <c r="G27" s="315"/>
      <c r="H27" s="312"/>
      <c r="I27" s="315"/>
      <c r="J27" s="318"/>
      <c r="K27" s="315"/>
      <c r="L27" s="321"/>
      <c r="M27" s="322"/>
      <c r="N27" s="106"/>
      <c r="W27" s="101">
        <v>25</v>
      </c>
      <c r="X27" s="101" t="str">
        <f>IF(VLOOKUP(W27,名簿ﾏｽﾀｰ!$J$7:$Q$56,2,0)="","",VLOOKUP(W27,名簿ﾏｽﾀｰ!$J$7:$Q$56,2,0))</f>
        <v/>
      </c>
      <c r="Y27" s="102" t="str">
        <f>IF(VLOOKUP(W27,名簿ﾏｽﾀｰ!$J$7:$Q$56,7,0)="","",VLOOKUP(W27,名簿ﾏｽﾀｰ!$J$7:$Q$56,7,0))</f>
        <v/>
      </c>
      <c r="Z27" s="102" t="str">
        <f>IF(X27="","",IF($Y27=1,COUNTIF(入力ﾌｫｰﾑ!$U$3:$U$10,$W27)+COUNTIF(入力ﾌｫｰﾑ!$U$20:$U$27,$W27),IF($Y27=2,"")))</f>
        <v/>
      </c>
      <c r="AA27" s="102" t="str">
        <f>IF(Y27="","",IF($Y27=2,COUNTIF(入力ﾌｫｰﾑ!$U$13:$U$17,$W27)+COUNTIF(入力ﾌｫｰﾑ!$U$30:$U$37,$W27),IF($Y27=1,"")))</f>
        <v/>
      </c>
    </row>
    <row r="28" spans="3:27" x14ac:dyDescent="0.15">
      <c r="C28" s="325" t="s">
        <v>903</v>
      </c>
      <c r="D28" s="316">
        <f>D20+D24</f>
        <v>0</v>
      </c>
      <c r="E28" s="313" t="s">
        <v>902</v>
      </c>
      <c r="F28" s="316">
        <f>F20+F24</f>
        <v>0</v>
      </c>
      <c r="G28" s="313" t="s">
        <v>902</v>
      </c>
      <c r="H28" s="316">
        <f>H20+H24</f>
        <v>0</v>
      </c>
      <c r="I28" s="313" t="s">
        <v>902</v>
      </c>
      <c r="J28" s="316">
        <f>J20+J24</f>
        <v>0</v>
      </c>
      <c r="K28" s="330" t="s">
        <v>902</v>
      </c>
      <c r="L28" s="333">
        <f>L20+L24</f>
        <v>0</v>
      </c>
      <c r="M28" s="334"/>
      <c r="W28" s="101">
        <v>26</v>
      </c>
      <c r="X28" s="101" t="str">
        <f>IF(VLOOKUP(W28,名簿ﾏｽﾀｰ!$J$7:$Q$56,2,0)="","",VLOOKUP(W28,名簿ﾏｽﾀｰ!$J$7:$Q$56,2,0))</f>
        <v/>
      </c>
      <c r="Y28" s="102" t="str">
        <f>IF(VLOOKUP(W28,名簿ﾏｽﾀｰ!$J$7:$Q$56,7,0)="","",VLOOKUP(W28,名簿ﾏｽﾀｰ!$J$7:$Q$56,7,0))</f>
        <v/>
      </c>
      <c r="Z28" s="102" t="str">
        <f>IF(X28="","",IF($Y28=1,COUNTIF(入力ﾌｫｰﾑ!$U$3:$U$10,$W28)+COUNTIF(入力ﾌｫｰﾑ!$U$20:$U$27,$W28),IF($Y28=2,"")))</f>
        <v/>
      </c>
      <c r="AA28" s="102" t="str">
        <f>IF(Y28="","",IF($Y28=2,COUNTIF(入力ﾌｫｰﾑ!$U$13:$U$17,$W28)+COUNTIF(入力ﾌｫｰﾑ!$U$30:$U$37,$W28),IF($Y28=1,"")))</f>
        <v/>
      </c>
    </row>
    <row r="29" spans="3:27" x14ac:dyDescent="0.15">
      <c r="C29" s="326"/>
      <c r="D29" s="317"/>
      <c r="E29" s="314"/>
      <c r="F29" s="317"/>
      <c r="G29" s="314"/>
      <c r="H29" s="317"/>
      <c r="I29" s="314"/>
      <c r="J29" s="317"/>
      <c r="K29" s="331"/>
      <c r="L29" s="335"/>
      <c r="M29" s="322"/>
      <c r="W29" s="101">
        <v>27</v>
      </c>
      <c r="X29" s="101" t="str">
        <f>IF(VLOOKUP(W29,名簿ﾏｽﾀｰ!$J$7:$Q$56,2,0)="","",VLOOKUP(W29,名簿ﾏｽﾀｰ!$J$7:$Q$56,2,0))</f>
        <v/>
      </c>
      <c r="Y29" s="102" t="str">
        <f>IF(VLOOKUP(W29,名簿ﾏｽﾀｰ!$J$7:$Q$56,7,0)="","",VLOOKUP(W29,名簿ﾏｽﾀｰ!$J$7:$Q$56,7,0))</f>
        <v/>
      </c>
      <c r="Z29" s="102" t="str">
        <f>IF(X29="","",IF($Y29=1,COUNTIF(入力ﾌｫｰﾑ!$U$3:$U$10,$W29)+COUNTIF(入力ﾌｫｰﾑ!$U$20:$U$27,$W29),IF($Y29=2,"")))</f>
        <v/>
      </c>
      <c r="AA29" s="102" t="str">
        <f>IF(Y29="","",IF($Y29=2,COUNTIF(入力ﾌｫｰﾑ!$U$13:$U$17,$W29)+COUNTIF(入力ﾌｫｰﾑ!$U$30:$U$37,$W29),IF($Y29=1,"")))</f>
        <v/>
      </c>
    </row>
    <row r="30" spans="3:27" x14ac:dyDescent="0.15">
      <c r="C30" s="326"/>
      <c r="D30" s="317"/>
      <c r="E30" s="314"/>
      <c r="F30" s="317"/>
      <c r="G30" s="314"/>
      <c r="H30" s="317"/>
      <c r="I30" s="314"/>
      <c r="J30" s="317"/>
      <c r="K30" s="331"/>
      <c r="L30" s="335"/>
      <c r="M30" s="322"/>
      <c r="W30" s="101">
        <v>28</v>
      </c>
      <c r="X30" s="101" t="str">
        <f>IF(VLOOKUP(W30,名簿ﾏｽﾀｰ!$J$7:$Q$56,2,0)="","",VLOOKUP(W30,名簿ﾏｽﾀｰ!$J$7:$Q$56,2,0))</f>
        <v/>
      </c>
      <c r="Y30" s="102" t="str">
        <f>IF(VLOOKUP(W30,名簿ﾏｽﾀｰ!$J$7:$Q$56,7,0)="","",VLOOKUP(W30,名簿ﾏｽﾀｰ!$J$7:$Q$56,7,0))</f>
        <v/>
      </c>
      <c r="Z30" s="102" t="str">
        <f>IF(X30="","",IF($Y30=1,COUNTIF(入力ﾌｫｰﾑ!$U$3:$U$10,$W30)+COUNTIF(入力ﾌｫｰﾑ!$U$20:$U$27,$W30),IF($Y30=2,"")))</f>
        <v/>
      </c>
      <c r="AA30" s="102" t="str">
        <f>IF(Y30="","",IF($Y30=2,COUNTIF(入力ﾌｫｰﾑ!$U$13:$U$17,$W30)+COUNTIF(入力ﾌｫｰﾑ!$U$30:$U$37,$W30),IF($Y30=1,"")))</f>
        <v/>
      </c>
    </row>
    <row r="31" spans="3:27" ht="14.25" thickBot="1" x14ac:dyDescent="0.2">
      <c r="C31" s="327"/>
      <c r="D31" s="328"/>
      <c r="E31" s="329"/>
      <c r="F31" s="328"/>
      <c r="G31" s="329"/>
      <c r="H31" s="328"/>
      <c r="I31" s="329"/>
      <c r="J31" s="328"/>
      <c r="K31" s="332"/>
      <c r="L31" s="336"/>
      <c r="M31" s="337"/>
      <c r="W31" s="101">
        <v>29</v>
      </c>
      <c r="X31" s="101" t="str">
        <f>IF(VLOOKUP(W31,名簿ﾏｽﾀｰ!$J$7:$Q$56,2,0)="","",VLOOKUP(W31,名簿ﾏｽﾀｰ!$J$7:$Q$56,2,0))</f>
        <v/>
      </c>
      <c r="Y31" s="102" t="str">
        <f>IF(VLOOKUP(W31,名簿ﾏｽﾀｰ!$J$7:$Q$56,7,0)="","",VLOOKUP(W31,名簿ﾏｽﾀｰ!$J$7:$Q$56,7,0))</f>
        <v/>
      </c>
      <c r="Z31" s="102" t="str">
        <f>IF(X31="","",IF($Y31=1,COUNTIF(入力ﾌｫｰﾑ!$U$3:$U$10,$W31)+COUNTIF(入力ﾌｫｰﾑ!$U$20:$U$27,$W31),IF($Y31=2,"")))</f>
        <v/>
      </c>
      <c r="AA31" s="102" t="str">
        <f>IF(Y31="","",IF($Y31=2,COUNTIF(入力ﾌｫｰﾑ!$U$13:$U$17,$W31)+COUNTIF(入力ﾌｫｰﾑ!$U$30:$U$37,$W31),IF($Y31=1,"")))</f>
        <v/>
      </c>
    </row>
    <row r="32" spans="3:27" ht="14.25" thickBot="1" x14ac:dyDescent="0.2">
      <c r="M32" s="106"/>
      <c r="Q32" s="103" t="s">
        <v>1114</v>
      </c>
      <c r="W32" s="101">
        <v>30</v>
      </c>
      <c r="X32" s="101" t="str">
        <f>IF(VLOOKUP(W32,名簿ﾏｽﾀｰ!$J$7:$Q$56,2,0)="","",VLOOKUP(W32,名簿ﾏｽﾀｰ!$J$7:$Q$56,2,0))</f>
        <v/>
      </c>
      <c r="Y32" s="102" t="str">
        <f>IF(VLOOKUP(W32,名簿ﾏｽﾀｰ!$J$7:$Q$56,7,0)="","",VLOOKUP(W32,名簿ﾏｽﾀｰ!$J$7:$Q$56,7,0))</f>
        <v/>
      </c>
      <c r="Z32" s="102" t="str">
        <f>IF(X32="","",IF($Y32=1,COUNTIF(入力ﾌｫｰﾑ!$U$3:$U$10,$W32)+COUNTIF(入力ﾌｫｰﾑ!$U$20:$U$27,$W32),IF($Y32=2,"")))</f>
        <v/>
      </c>
      <c r="AA32" s="102" t="str">
        <f>IF(Y32="","",IF($Y32=2,COUNTIF(入力ﾌｫｰﾑ!$U$13:$U$17,$W32)+COUNTIF(入力ﾌｫｰﾑ!$U$30:$U$37,$W32),IF($Y32=1,"")))</f>
        <v/>
      </c>
    </row>
    <row r="33" spans="3:27" ht="48.75" customHeight="1" thickBot="1" x14ac:dyDescent="0.2">
      <c r="C33" s="348" t="s">
        <v>904</v>
      </c>
      <c r="D33" s="349"/>
      <c r="E33" s="349"/>
      <c r="F33" s="349"/>
      <c r="G33" s="350">
        <f>入力ﾌｫｰﾑ!$F$6</f>
        <v>0</v>
      </c>
      <c r="H33" s="351"/>
      <c r="I33" s="107" t="s">
        <v>905</v>
      </c>
      <c r="J33" s="352" t="str">
        <f>CONCATENATE("プログラム代
冊数×",$R$33,"円")</f>
        <v>プログラム代
冊数×1,000円</v>
      </c>
      <c r="K33" s="353"/>
      <c r="L33" s="354">
        <f>G33*Q33</f>
        <v>0</v>
      </c>
      <c r="M33" s="355"/>
      <c r="Q33" s="104">
        <v>1000</v>
      </c>
      <c r="R33" s="105" t="s">
        <v>1115</v>
      </c>
      <c r="W33" s="101">
        <v>31</v>
      </c>
      <c r="X33" s="101" t="str">
        <f>IF(VLOOKUP(W33,名簿ﾏｽﾀｰ!$J$7:$Q$56,2,0)="","",VLOOKUP(W33,名簿ﾏｽﾀｰ!$J$7:$Q$56,2,0))</f>
        <v/>
      </c>
      <c r="Y33" s="102" t="str">
        <f>IF(VLOOKUP(W33,名簿ﾏｽﾀｰ!$J$7:$Q$56,7,0)="","",VLOOKUP(W33,名簿ﾏｽﾀｰ!$J$7:$Q$56,7,0))</f>
        <v/>
      </c>
      <c r="Z33" s="102" t="str">
        <f>IF(X33="","",IF($Y33=1,COUNTIF(入力ﾌｫｰﾑ!$U$3:$U$10,$W33)+COUNTIF(入力ﾌｫｰﾑ!$U$20:$U$27,$W33),IF($Y33=2,"")))</f>
        <v/>
      </c>
      <c r="AA33" s="102" t="str">
        <f>IF(Y33="","",IF($Y33=2,COUNTIF(入力ﾌｫｰﾑ!$U$13:$U$17,$W33)+COUNTIF(入力ﾌｫｰﾑ!$U$30:$U$37,$W33),IF($Y33=1,"")))</f>
        <v/>
      </c>
    </row>
    <row r="34" spans="3:27" ht="14.25" thickBot="1" x14ac:dyDescent="0.2">
      <c r="M34" s="106"/>
      <c r="W34" s="101">
        <v>32</v>
      </c>
      <c r="X34" s="101" t="str">
        <f>IF(VLOOKUP(W34,名簿ﾏｽﾀｰ!$J$7:$Q$56,2,0)="","",VLOOKUP(W34,名簿ﾏｽﾀｰ!$J$7:$Q$56,2,0))</f>
        <v/>
      </c>
      <c r="Y34" s="102" t="str">
        <f>IF(VLOOKUP(W34,名簿ﾏｽﾀｰ!$J$7:$Q$56,7,0)="","",VLOOKUP(W34,名簿ﾏｽﾀｰ!$J$7:$Q$56,7,0))</f>
        <v/>
      </c>
      <c r="Z34" s="102" t="str">
        <f>IF(X34="","",IF($Y34=1,COUNTIF(入力ﾌｫｰﾑ!$U$3:$U$10,$W34)+COUNTIF(入力ﾌｫｰﾑ!$U$20:$U$27,$W34),IF($Y34=2,"")))</f>
        <v/>
      </c>
      <c r="AA34" s="102" t="str">
        <f>IF(Y34="","",IF($Y34=2,COUNTIF(入力ﾌｫｰﾑ!$U$13:$U$17,$W34)+COUNTIF(入力ﾌｫｰﾑ!$U$30:$U$37,$W34),IF($Y34=1,"")))</f>
        <v/>
      </c>
    </row>
    <row r="35" spans="3:27" ht="15" customHeight="1" x14ac:dyDescent="0.15">
      <c r="H35" s="356" t="s">
        <v>906</v>
      </c>
      <c r="I35" s="357"/>
      <c r="J35" s="357"/>
      <c r="K35" s="362">
        <f>L28+L33</f>
        <v>0</v>
      </c>
      <c r="L35" s="363"/>
      <c r="M35" s="364"/>
      <c r="W35" s="101">
        <v>33</v>
      </c>
      <c r="X35" s="101" t="str">
        <f>IF(VLOOKUP(W35,名簿ﾏｽﾀｰ!$J$7:$Q$56,2,0)="","",VLOOKUP(W35,名簿ﾏｽﾀｰ!$J$7:$Q$56,2,0))</f>
        <v/>
      </c>
      <c r="Y35" s="102" t="str">
        <f>IF(VLOOKUP(W35,名簿ﾏｽﾀｰ!$J$7:$Q$56,7,0)="","",VLOOKUP(W35,名簿ﾏｽﾀｰ!$J$7:$Q$56,7,0))</f>
        <v/>
      </c>
      <c r="Z35" s="102" t="str">
        <f>IF(X35="","",IF($Y35=1,COUNTIF(入力ﾌｫｰﾑ!$U$3:$U$10,$W35)+COUNTIF(入力ﾌｫｰﾑ!$U$20:$U$27,$W35),IF($Y35=2,"")))</f>
        <v/>
      </c>
      <c r="AA35" s="102" t="str">
        <f>IF(Y35="","",IF($Y35=2,COUNTIF(入力ﾌｫｰﾑ!$U$13:$U$17,$W35)+COUNTIF(入力ﾌｫｰﾑ!$U$30:$U$37,$W35),IF($Y35=1,"")))</f>
        <v/>
      </c>
    </row>
    <row r="36" spans="3:27" x14ac:dyDescent="0.15">
      <c r="H36" s="358"/>
      <c r="I36" s="359"/>
      <c r="J36" s="359"/>
      <c r="K36" s="365"/>
      <c r="L36" s="365"/>
      <c r="M36" s="366"/>
      <c r="W36" s="101">
        <v>34</v>
      </c>
      <c r="X36" s="101" t="str">
        <f>IF(VLOOKUP(W36,名簿ﾏｽﾀｰ!$J$7:$Q$56,2,0)="","",VLOOKUP(W36,名簿ﾏｽﾀｰ!$J$7:$Q$56,2,0))</f>
        <v/>
      </c>
      <c r="Y36" s="102" t="str">
        <f>IF(VLOOKUP(W36,名簿ﾏｽﾀｰ!$J$7:$Q$56,7,0)="","",VLOOKUP(W36,名簿ﾏｽﾀｰ!$J$7:$Q$56,7,0))</f>
        <v/>
      </c>
      <c r="Z36" s="102" t="str">
        <f>IF(X36="","",IF($Y36=1,COUNTIF(入力ﾌｫｰﾑ!$U$3:$U$10,$W36)+COUNTIF(入力ﾌｫｰﾑ!$U$20:$U$27,$W36),IF($Y36=2,"")))</f>
        <v/>
      </c>
      <c r="AA36" s="102" t="str">
        <f>IF(Y36="","",IF($Y36=2,COUNTIF(入力ﾌｫｰﾑ!$U$13:$U$17,$W36)+COUNTIF(入力ﾌｫｰﾑ!$U$30:$U$37,$W36),IF($Y36=1,"")))</f>
        <v/>
      </c>
    </row>
    <row r="37" spans="3:27" ht="14.25" thickBot="1" x14ac:dyDescent="0.2">
      <c r="H37" s="360"/>
      <c r="I37" s="361"/>
      <c r="J37" s="361"/>
      <c r="K37" s="367"/>
      <c r="L37" s="367"/>
      <c r="M37" s="368"/>
      <c r="W37" s="101">
        <v>35</v>
      </c>
      <c r="X37" s="101" t="str">
        <f>IF(VLOOKUP(W37,名簿ﾏｽﾀｰ!$J$7:$Q$56,2,0)="","",VLOOKUP(W37,名簿ﾏｽﾀｰ!$J$7:$Q$56,2,0))</f>
        <v/>
      </c>
      <c r="Y37" s="102" t="str">
        <f>IF(VLOOKUP(W37,名簿ﾏｽﾀｰ!$J$7:$Q$56,7,0)="","",VLOOKUP(W37,名簿ﾏｽﾀｰ!$J$7:$Q$56,7,0))</f>
        <v/>
      </c>
      <c r="Z37" s="102" t="str">
        <f>IF(X37="","",IF($Y37=1,COUNTIF(入力ﾌｫｰﾑ!$U$3:$U$10,$W37)+COUNTIF(入力ﾌｫｰﾑ!$U$20:$U$27,$W37),IF($Y37=2,"")))</f>
        <v/>
      </c>
      <c r="AA37" s="102" t="str">
        <f>IF(Y37="","",IF($Y37=2,COUNTIF(入力ﾌｫｰﾑ!$U$13:$U$17,$W37)+COUNTIF(入力ﾌｫｰﾑ!$U$30:$U$37,$W37),IF($Y37=1,"")))</f>
        <v/>
      </c>
    </row>
    <row r="38" spans="3:27" x14ac:dyDescent="0.15">
      <c r="W38" s="101">
        <v>36</v>
      </c>
      <c r="X38" s="101" t="str">
        <f>IF(VLOOKUP(W38,名簿ﾏｽﾀｰ!$J$7:$Q$56,2,0)="","",VLOOKUP(W38,名簿ﾏｽﾀｰ!$J$7:$Q$56,2,0))</f>
        <v/>
      </c>
      <c r="Y38" s="102" t="str">
        <f>IF(VLOOKUP(W38,名簿ﾏｽﾀｰ!$J$7:$Q$56,7,0)="","",VLOOKUP(W38,名簿ﾏｽﾀｰ!$J$7:$Q$56,7,0))</f>
        <v/>
      </c>
      <c r="Z38" s="102" t="str">
        <f>IF(X38="","",IF($Y38=1,COUNTIF(入力ﾌｫｰﾑ!$U$3:$U$10,$W38)+COUNTIF(入力ﾌｫｰﾑ!$U$20:$U$27,$W38),IF($Y38=2,"")))</f>
        <v/>
      </c>
      <c r="AA38" s="102" t="str">
        <f>IF(Y38="","",IF($Y38=2,COUNTIF(入力ﾌｫｰﾑ!$U$13:$U$17,$W38)+COUNTIF(入力ﾌｫｰﾑ!$U$30:$U$37,$W38),IF($Y38=1,"")))</f>
        <v/>
      </c>
    </row>
    <row r="39" spans="3:27" x14ac:dyDescent="0.15">
      <c r="F39" s="338" t="s">
        <v>907</v>
      </c>
      <c r="G39" s="282"/>
      <c r="H39" s="341">
        <f>メインシート!$H$13</f>
        <v>0</v>
      </c>
      <c r="I39" s="342"/>
      <c r="J39" s="342"/>
      <c r="K39" s="342"/>
      <c r="L39" s="342"/>
      <c r="M39" s="343"/>
      <c r="W39" s="101">
        <v>37</v>
      </c>
      <c r="X39" s="101" t="str">
        <f>IF(VLOOKUP(W39,名簿ﾏｽﾀｰ!$J$7:$Q$56,2,0)="","",VLOOKUP(W39,名簿ﾏｽﾀｰ!$J$7:$Q$56,2,0))</f>
        <v/>
      </c>
      <c r="Y39" s="102" t="str">
        <f>IF(VLOOKUP(W39,名簿ﾏｽﾀｰ!$J$7:$Q$56,7,0)="","",VLOOKUP(W39,名簿ﾏｽﾀｰ!$J$7:$Q$56,7,0))</f>
        <v/>
      </c>
      <c r="Z39" s="102" t="str">
        <f>IF(X39="","",IF($Y39=1,COUNTIF(入力ﾌｫｰﾑ!$U$3:$U$10,$W39)+COUNTIF(入力ﾌｫｰﾑ!$U$20:$U$27,$W39),IF($Y39=2,"")))</f>
        <v/>
      </c>
      <c r="AA39" s="102" t="str">
        <f>IF(Y39="","",IF($Y39=2,COUNTIF(入力ﾌｫｰﾑ!$U$13:$U$17,$W39)+COUNTIF(入力ﾌｫｰﾑ!$U$30:$U$37,$W39),IF($Y39=1,"")))</f>
        <v/>
      </c>
    </row>
    <row r="40" spans="3:27" ht="31.5" customHeight="1" x14ac:dyDescent="0.15">
      <c r="F40" s="339"/>
      <c r="G40" s="340"/>
      <c r="H40" s="344"/>
      <c r="I40" s="345"/>
      <c r="J40" s="345"/>
      <c r="K40" s="345"/>
      <c r="L40" s="345"/>
      <c r="M40" s="346"/>
      <c r="W40" s="101">
        <v>38</v>
      </c>
      <c r="X40" s="101" t="str">
        <f>IF(VLOOKUP(W40,名簿ﾏｽﾀｰ!$J$7:$Q$56,2,0)="","",VLOOKUP(W40,名簿ﾏｽﾀｰ!$J$7:$Q$56,2,0))</f>
        <v/>
      </c>
      <c r="Y40" s="102" t="str">
        <f>IF(VLOOKUP(W40,名簿ﾏｽﾀｰ!$J$7:$Q$56,7,0)="","",VLOOKUP(W40,名簿ﾏｽﾀｰ!$J$7:$Q$56,7,0))</f>
        <v/>
      </c>
      <c r="Z40" s="102" t="str">
        <f>IF(X40="","",IF($Y40=1,COUNTIF(入力ﾌｫｰﾑ!$U$3:$U$10,$W40)+COUNTIF(入力ﾌｫｰﾑ!$U$20:$U$27,$W40),IF($Y40=2,"")))</f>
        <v/>
      </c>
      <c r="AA40" s="102" t="str">
        <f>IF(Y40="","",IF($Y40=2,COUNTIF(入力ﾌｫｰﾑ!$U$13:$U$17,$W40)+COUNTIF(入力ﾌｫｰﾑ!$U$30:$U$37,$W40),IF($Y40=1,"")))</f>
        <v/>
      </c>
    </row>
    <row r="41" spans="3:27" ht="21" customHeight="1" thickBot="1" x14ac:dyDescent="0.2">
      <c r="C41" s="347" t="s">
        <v>908</v>
      </c>
      <c r="D41" s="331"/>
      <c r="W41" s="101">
        <v>39</v>
      </c>
      <c r="X41" s="101" t="str">
        <f>IF(VLOOKUP(W41,名簿ﾏｽﾀｰ!$J$7:$Q$56,2,0)="","",VLOOKUP(W41,名簿ﾏｽﾀｰ!$J$7:$Q$56,2,0))</f>
        <v/>
      </c>
      <c r="Y41" s="102" t="str">
        <f>IF(VLOOKUP(W41,名簿ﾏｽﾀｰ!$J$7:$Q$56,7,0)="","",VLOOKUP(W41,名簿ﾏｽﾀｰ!$J$7:$Q$56,7,0))</f>
        <v/>
      </c>
      <c r="Z41" s="102" t="str">
        <f>IF(X41="","",IF($Y41=1,COUNTIF(入力ﾌｫｰﾑ!$U$3:$U$10,$W41)+COUNTIF(入力ﾌｫｰﾑ!$U$20:$U$27,$W41),IF($Y41=2,"")))</f>
        <v/>
      </c>
      <c r="AA41" s="102" t="str">
        <f>IF(Y41="","",IF($Y41=2,COUNTIF(入力ﾌｫｰﾑ!$U$13:$U$17,$W41)+COUNTIF(入力ﾌｫｰﾑ!$U$30:$U$37,$W41),IF($Y41=1,"")))</f>
        <v/>
      </c>
    </row>
    <row r="42" spans="3:27" ht="31.5" customHeight="1" x14ac:dyDescent="0.15">
      <c r="C42" s="255" t="s">
        <v>1119</v>
      </c>
      <c r="D42" s="256"/>
      <c r="E42" s="108"/>
      <c r="F42" s="109" t="str">
        <f>R42</f>
        <v>みずほ銀行　東武支店</v>
      </c>
      <c r="G42" s="108"/>
      <c r="H42" s="108"/>
      <c r="I42" s="108"/>
      <c r="J42" s="108"/>
      <c r="K42" s="108"/>
      <c r="L42" s="108"/>
      <c r="M42" s="110"/>
      <c r="N42" s="111"/>
      <c r="O42" s="111"/>
      <c r="P42" s="111"/>
      <c r="Q42" s="112" t="s">
        <v>1116</v>
      </c>
      <c r="R42" s="113" t="s">
        <v>2558</v>
      </c>
      <c r="S42" s="114"/>
      <c r="T42" s="115"/>
      <c r="U42" s="116"/>
      <c r="W42" s="101">
        <v>40</v>
      </c>
      <c r="X42" s="101" t="str">
        <f>IF(VLOOKUP(W42,名簿ﾏｽﾀｰ!$J$7:$Q$56,2,0)="","",VLOOKUP(W42,名簿ﾏｽﾀｰ!$J$7:$Q$56,2,0))</f>
        <v/>
      </c>
      <c r="Y42" s="102" t="str">
        <f>IF(VLOOKUP(W42,名簿ﾏｽﾀｰ!$J$7:$Q$56,7,0)="","",VLOOKUP(W42,名簿ﾏｽﾀｰ!$J$7:$Q$56,7,0))</f>
        <v/>
      </c>
      <c r="Z42" s="102" t="str">
        <f>IF(X42="","",IF($Y42=1,COUNTIF(入力ﾌｫｰﾑ!$U$3:$U$10,$W42)+COUNTIF(入力ﾌｫｰﾑ!$U$20:$U$27,$W42),IF($Y42=2,"")))</f>
        <v/>
      </c>
      <c r="AA42" s="102" t="str">
        <f>IF(Y42="","",IF($Y42=2,COUNTIF(入力ﾌｫｰﾑ!$U$13:$U$17,$W42)+COUNTIF(入力ﾌｫｰﾑ!$U$30:$U$37,$W42),IF($Y42=1,"")))</f>
        <v/>
      </c>
    </row>
    <row r="43" spans="3:27" ht="31.5" customHeight="1" x14ac:dyDescent="0.15">
      <c r="C43" s="253" t="s">
        <v>1117</v>
      </c>
      <c r="D43" s="254"/>
      <c r="E43" s="117"/>
      <c r="F43" s="118" t="str">
        <f t="shared" ref="F43:F44" si="0">R43</f>
        <v>当座預金　　９７５８００３</v>
      </c>
      <c r="G43" s="117"/>
      <c r="H43" s="117"/>
      <c r="I43" s="117"/>
      <c r="J43" s="117"/>
      <c r="K43" s="117"/>
      <c r="L43" s="117"/>
      <c r="M43" s="119"/>
      <c r="N43" s="111"/>
      <c r="O43" s="111"/>
      <c r="P43" s="111"/>
      <c r="Q43" s="112" t="s">
        <v>1117</v>
      </c>
      <c r="R43" s="113" t="s">
        <v>2559</v>
      </c>
      <c r="S43" s="114"/>
      <c r="T43" s="115"/>
      <c r="U43" s="116"/>
      <c r="W43" s="101">
        <v>41</v>
      </c>
      <c r="X43" s="101" t="str">
        <f>IF(VLOOKUP(W43,名簿ﾏｽﾀｰ!$J$7:$Q$56,2,0)="","",VLOOKUP(W43,名簿ﾏｽﾀｰ!$J$7:$Q$56,2,0))</f>
        <v/>
      </c>
      <c r="Y43" s="102" t="str">
        <f>IF(VLOOKUP(W43,名簿ﾏｽﾀｰ!$J$7:$Q$56,7,0)="","",VLOOKUP(W43,名簿ﾏｽﾀｰ!$J$7:$Q$56,7,0))</f>
        <v/>
      </c>
      <c r="Z43" s="102" t="str">
        <f>IF(X43="","",IF($Y43=1,COUNTIF(入力ﾌｫｰﾑ!$U$3:$U$10,$W43)+COUNTIF(入力ﾌｫｰﾑ!$U$20:$U$27,$W43),IF($Y43=2,"")))</f>
        <v/>
      </c>
      <c r="AA43" s="102" t="str">
        <f>IF(Y43="","",IF($Y43=2,COUNTIF(入力ﾌｫｰﾑ!$U$13:$U$17,$W43)+COUNTIF(入力ﾌｫｰﾑ!$U$30:$U$37,$W43),IF($Y43=1,"")))</f>
        <v/>
      </c>
    </row>
    <row r="44" spans="3:27" ht="31.5" customHeight="1" thickBot="1" x14ac:dyDescent="0.2">
      <c r="C44" s="251" t="s">
        <v>1120</v>
      </c>
      <c r="D44" s="252"/>
      <c r="E44" s="120"/>
      <c r="F44" s="121" t="str">
        <f t="shared" si="0"/>
        <v>東武トップツアーズ株式会社</v>
      </c>
      <c r="G44" s="120"/>
      <c r="H44" s="120"/>
      <c r="I44" s="120"/>
      <c r="J44" s="120"/>
      <c r="K44" s="120"/>
      <c r="L44" s="120"/>
      <c r="M44" s="122"/>
      <c r="N44" s="111"/>
      <c r="O44" s="111"/>
      <c r="P44" s="111"/>
      <c r="Q44" s="112" t="s">
        <v>1118</v>
      </c>
      <c r="R44" s="113" t="s">
        <v>2560</v>
      </c>
      <c r="S44" s="114"/>
      <c r="T44" s="115"/>
      <c r="U44" s="116"/>
      <c r="W44" s="101">
        <v>42</v>
      </c>
      <c r="X44" s="101" t="str">
        <f>IF(VLOOKUP(W44,名簿ﾏｽﾀｰ!$J$7:$Q$56,2,0)="","",VLOOKUP(W44,名簿ﾏｽﾀｰ!$J$7:$Q$56,2,0))</f>
        <v/>
      </c>
      <c r="Y44" s="102" t="str">
        <f>IF(VLOOKUP(W44,名簿ﾏｽﾀｰ!$J$7:$Q$56,7,0)="","",VLOOKUP(W44,名簿ﾏｽﾀｰ!$J$7:$Q$56,7,0))</f>
        <v/>
      </c>
      <c r="Z44" s="102" t="str">
        <f>IF(X44="","",IF($Y44=1,COUNTIF(入力ﾌｫｰﾑ!$U$3:$U$10,$W44)+COUNTIF(入力ﾌｫｰﾑ!$U$20:$U$27,$W44),IF($Y44=2,"")))</f>
        <v/>
      </c>
      <c r="AA44" s="102" t="str">
        <f>IF(Y44="","",IF($Y44=2,COUNTIF(入力ﾌｫｰﾑ!$U$13:$U$17,$W44)+COUNTIF(入力ﾌｫｰﾑ!$U$30:$U$37,$W44),IF($Y44=1,"")))</f>
        <v/>
      </c>
    </row>
    <row r="45" spans="3:27" ht="24" customHeight="1" x14ac:dyDescent="0.15"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23"/>
      <c r="W45" s="101">
        <v>43</v>
      </c>
      <c r="X45" s="101" t="str">
        <f>IF(VLOOKUP(W45,名簿ﾏｽﾀｰ!$J$7:$Q$56,2,0)="","",VLOOKUP(W45,名簿ﾏｽﾀｰ!$J$7:$Q$56,2,0))</f>
        <v/>
      </c>
      <c r="Y45" s="102" t="str">
        <f>IF(VLOOKUP(W45,名簿ﾏｽﾀｰ!$J$7:$Q$56,7,0)="","",VLOOKUP(W45,名簿ﾏｽﾀｰ!$J$7:$Q$56,7,0))</f>
        <v/>
      </c>
      <c r="Z45" s="102" t="str">
        <f>IF(X45="","",IF($Y45=1,COUNTIF(入力ﾌｫｰﾑ!$U$3:$U$10,$W45)+COUNTIF(入力ﾌｫｰﾑ!$U$20:$U$27,$W45),IF($Y45=2,"")))</f>
        <v/>
      </c>
      <c r="AA45" s="102" t="str">
        <f>IF(Y45="","",IF($Y45=2,COUNTIF(入力ﾌｫｰﾑ!$U$13:$U$17,$W45)+COUNTIF(入力ﾌｫｰﾑ!$U$30:$U$37,$W45),IF($Y45=1,"")))</f>
        <v/>
      </c>
    </row>
    <row r="46" spans="3:27" ht="24" customHeight="1" x14ac:dyDescent="0.15"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W46" s="101">
        <v>44</v>
      </c>
      <c r="X46" s="101" t="str">
        <f>IF(VLOOKUP(W46,名簿ﾏｽﾀｰ!$J$7:$Q$56,2,0)="","",VLOOKUP(W46,名簿ﾏｽﾀｰ!$J$7:$Q$56,2,0))</f>
        <v/>
      </c>
      <c r="Y46" s="102" t="str">
        <f>IF(VLOOKUP(W46,名簿ﾏｽﾀｰ!$J$7:$Q$56,7,0)="","",VLOOKUP(W46,名簿ﾏｽﾀｰ!$J$7:$Q$56,7,0))</f>
        <v/>
      </c>
      <c r="Z46" s="102" t="str">
        <f>IF(X46="","",IF($Y46=1,COUNTIF(入力ﾌｫｰﾑ!$U$3:$U$10,$W46)+COUNTIF(入力ﾌｫｰﾑ!$U$20:$U$27,$W46),IF($Y46=2,"")))</f>
        <v/>
      </c>
      <c r="AA46" s="102" t="str">
        <f>IF(Y46="","",IF($Y46=2,COUNTIF(入力ﾌｫｰﾑ!$U$13:$U$17,$W46)+COUNTIF(入力ﾌｫｰﾑ!$U$30:$U$37,$W46),IF($Y46=1,"")))</f>
        <v/>
      </c>
    </row>
    <row r="47" spans="3:27" ht="14.25" customHeight="1" x14ac:dyDescent="0.15"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W47" s="101">
        <v>45</v>
      </c>
      <c r="X47" s="101" t="str">
        <f>IF(VLOOKUP(W47,名簿ﾏｽﾀｰ!$J$7:$Q$56,2,0)="","",VLOOKUP(W47,名簿ﾏｽﾀｰ!$J$7:$Q$56,2,0))</f>
        <v/>
      </c>
      <c r="Y47" s="102" t="str">
        <f>IF(VLOOKUP(W47,名簿ﾏｽﾀｰ!$J$7:$Q$56,7,0)="","",VLOOKUP(W47,名簿ﾏｽﾀｰ!$J$7:$Q$56,7,0))</f>
        <v/>
      </c>
      <c r="Z47" s="102" t="str">
        <f>IF(X47="","",IF($Y47=1,COUNTIF(入力ﾌｫｰﾑ!$U$3:$U$10,$W47)+COUNTIF(入力ﾌｫｰﾑ!$U$20:$U$27,$W47),IF($Y47=2,"")))</f>
        <v/>
      </c>
      <c r="AA47" s="102" t="str">
        <f>IF(Y47="","",IF($Y47=2,COUNTIF(入力ﾌｫｰﾑ!$U$13:$U$17,$W47)+COUNTIF(入力ﾌｫｰﾑ!$U$30:$U$37,$W47),IF($Y47=1,"")))</f>
        <v/>
      </c>
    </row>
    <row r="48" spans="3:27" x14ac:dyDescent="0.15">
      <c r="W48" s="101">
        <v>46</v>
      </c>
      <c r="X48" s="101" t="str">
        <f>IF(VLOOKUP(W48,名簿ﾏｽﾀｰ!$J$7:$Q$56,2,0)="","",VLOOKUP(W48,名簿ﾏｽﾀｰ!$J$7:$Q$56,2,0))</f>
        <v/>
      </c>
      <c r="Y48" s="102" t="str">
        <f>IF(VLOOKUP(W48,名簿ﾏｽﾀｰ!$J$7:$Q$56,7,0)="","",VLOOKUP(W48,名簿ﾏｽﾀｰ!$J$7:$Q$56,7,0))</f>
        <v/>
      </c>
      <c r="Z48" s="102" t="str">
        <f>IF(X48="","",IF($Y48=1,COUNTIF(入力ﾌｫｰﾑ!$U$3:$U$10,$W48)+COUNTIF(入力ﾌｫｰﾑ!$U$20:$U$27,$W48),IF($Y48=2,"")))</f>
        <v/>
      </c>
      <c r="AA48" s="102" t="str">
        <f>IF(Y48="","",IF($Y48=2,COUNTIF(入力ﾌｫｰﾑ!$U$13:$U$17,$W48)+COUNTIF(入力ﾌｫｰﾑ!$U$30:$U$37,$W48),IF($Y48=1,"")))</f>
        <v/>
      </c>
    </row>
    <row r="49" spans="23:27" x14ac:dyDescent="0.15">
      <c r="W49" s="101">
        <v>47</v>
      </c>
      <c r="X49" s="101" t="str">
        <f>IF(VLOOKUP(W49,名簿ﾏｽﾀｰ!$J$7:$Q$56,2,0)="","",VLOOKUP(W49,名簿ﾏｽﾀｰ!$J$7:$Q$56,2,0))</f>
        <v/>
      </c>
      <c r="Y49" s="102" t="str">
        <f>IF(VLOOKUP(W49,名簿ﾏｽﾀｰ!$J$7:$Q$56,7,0)="","",VLOOKUP(W49,名簿ﾏｽﾀｰ!$J$7:$Q$56,7,0))</f>
        <v/>
      </c>
      <c r="Z49" s="102" t="str">
        <f>IF(X49="","",IF($Y49=1,COUNTIF(入力ﾌｫｰﾑ!$U$3:$U$10,$W49)+COUNTIF(入力ﾌｫｰﾑ!$U$20:$U$27,$W49),IF($Y49=2,"")))</f>
        <v/>
      </c>
      <c r="AA49" s="102" t="str">
        <f>IF(Y49="","",IF($Y49=2,COUNTIF(入力ﾌｫｰﾑ!$U$13:$U$17,$W49)+COUNTIF(入力ﾌｫｰﾑ!$U$30:$U$37,$W49),IF($Y49=1,"")))</f>
        <v/>
      </c>
    </row>
    <row r="50" spans="23:27" x14ac:dyDescent="0.15">
      <c r="W50" s="101">
        <v>48</v>
      </c>
      <c r="X50" s="101" t="str">
        <f>IF(VLOOKUP(W50,名簿ﾏｽﾀｰ!$J$7:$Q$56,2,0)="","",VLOOKUP(W50,名簿ﾏｽﾀｰ!$J$7:$Q$56,2,0))</f>
        <v/>
      </c>
      <c r="Y50" s="102" t="str">
        <f>IF(VLOOKUP(W50,名簿ﾏｽﾀｰ!$J$7:$Q$56,7,0)="","",VLOOKUP(W50,名簿ﾏｽﾀｰ!$J$7:$Q$56,7,0))</f>
        <v/>
      </c>
      <c r="Z50" s="102" t="str">
        <f>IF(X50="","",IF($Y50=1,COUNTIF(入力ﾌｫｰﾑ!$U$3:$U$10,$W50)+COUNTIF(入力ﾌｫｰﾑ!$U$20:$U$27,$W50),IF($Y50=2,"")))</f>
        <v/>
      </c>
      <c r="AA50" s="102" t="str">
        <f>IF(Y50="","",IF($Y50=2,COUNTIF(入力ﾌｫｰﾑ!$U$13:$U$17,$W50)+COUNTIF(入力ﾌｫｰﾑ!$U$30:$U$37,$W50),IF($Y50=1,"")))</f>
        <v/>
      </c>
    </row>
    <row r="51" spans="23:27" x14ac:dyDescent="0.15">
      <c r="W51" s="101">
        <v>49</v>
      </c>
      <c r="X51" s="101" t="str">
        <f>IF(VLOOKUP(W51,名簿ﾏｽﾀｰ!$J$7:$Q$56,2,0)="","",VLOOKUP(W51,名簿ﾏｽﾀｰ!$J$7:$Q$56,2,0))</f>
        <v/>
      </c>
      <c r="Y51" s="102" t="str">
        <f>IF(VLOOKUP(W51,名簿ﾏｽﾀｰ!$J$7:$Q$56,7,0)="","",VLOOKUP(W51,名簿ﾏｽﾀｰ!$J$7:$Q$56,7,0))</f>
        <v/>
      </c>
      <c r="Z51" s="102" t="str">
        <f>IF(X51="","",IF($Y51=1,COUNTIF(入力ﾌｫｰﾑ!$U$3:$U$10,$W51)+COUNTIF(入力ﾌｫｰﾑ!$U$20:$U$27,$W51),IF($Y51=2,"")))</f>
        <v/>
      </c>
      <c r="AA51" s="102" t="str">
        <f>IF(Y51="","",IF($Y51=2,COUNTIF(入力ﾌｫｰﾑ!$U$13:$U$17,$W51)+COUNTIF(入力ﾌｫｰﾑ!$U$30:$U$37,$W51),IF($Y51=1,"")))</f>
        <v/>
      </c>
    </row>
    <row r="52" spans="23:27" x14ac:dyDescent="0.15">
      <c r="W52" s="101">
        <v>50</v>
      </c>
      <c r="X52" s="101" t="str">
        <f>IF(VLOOKUP(W52,名簿ﾏｽﾀｰ!$J$7:$Q$56,2,0)="","",VLOOKUP(W52,名簿ﾏｽﾀｰ!$J$7:$Q$56,2,0))</f>
        <v/>
      </c>
      <c r="Y52" s="102" t="str">
        <f>IF(VLOOKUP(W52,名簿ﾏｽﾀｰ!$J$7:$Q$56,7,0)="","",VLOOKUP(W52,名簿ﾏｽﾀｰ!$J$7:$Q$56,7,0))</f>
        <v/>
      </c>
      <c r="Z52" s="102" t="str">
        <f>IF(X52="","",IF($Y52=1,COUNTIF(入力ﾌｫｰﾑ!$U$3:$U$10,$W52)+COUNTIF(入力ﾌｫｰﾑ!$U$20:$U$27,$W52),IF($Y52=2,"")))</f>
        <v/>
      </c>
      <c r="AA52" s="102" t="str">
        <f>IF(Y52="","",IF($Y52=2,COUNTIF(入力ﾌｫｰﾑ!$U$13:$U$17,$W52)+COUNTIF(入力ﾌｫｰﾑ!$U$30:$U$37,$W52),IF($Y52=1,"")))</f>
        <v/>
      </c>
    </row>
  </sheetData>
  <sheetProtection sheet="1" objects="1" scenarios="1"/>
  <mergeCells count="55">
    <mergeCell ref="F39:G40"/>
    <mergeCell ref="H39:M40"/>
    <mergeCell ref="C41:D41"/>
    <mergeCell ref="C33:F33"/>
    <mergeCell ref="G33:H33"/>
    <mergeCell ref="J33:K33"/>
    <mergeCell ref="L33:M33"/>
    <mergeCell ref="H35:J37"/>
    <mergeCell ref="K35:M37"/>
    <mergeCell ref="H28:H31"/>
    <mergeCell ref="I28:I31"/>
    <mergeCell ref="J28:J31"/>
    <mergeCell ref="K28:K31"/>
    <mergeCell ref="L28:M31"/>
    <mergeCell ref="C28:C31"/>
    <mergeCell ref="D28:D31"/>
    <mergeCell ref="E28:E31"/>
    <mergeCell ref="F28:F31"/>
    <mergeCell ref="G28:G31"/>
    <mergeCell ref="H24:H27"/>
    <mergeCell ref="I24:I27"/>
    <mergeCell ref="J24:J27"/>
    <mergeCell ref="K24:K27"/>
    <mergeCell ref="L24:M27"/>
    <mergeCell ref="C24:C27"/>
    <mergeCell ref="D24:D27"/>
    <mergeCell ref="E24:E27"/>
    <mergeCell ref="F24:F27"/>
    <mergeCell ref="G24:G27"/>
    <mergeCell ref="H20:H23"/>
    <mergeCell ref="I20:I23"/>
    <mergeCell ref="J20:J23"/>
    <mergeCell ref="K20:K23"/>
    <mergeCell ref="L20:M23"/>
    <mergeCell ref="C20:C23"/>
    <mergeCell ref="D20:D23"/>
    <mergeCell ref="E20:E23"/>
    <mergeCell ref="F20:F23"/>
    <mergeCell ref="G20:G23"/>
    <mergeCell ref="C44:D44"/>
    <mergeCell ref="C43:D43"/>
    <mergeCell ref="C42:D42"/>
    <mergeCell ref="B2:N3"/>
    <mergeCell ref="C7:M8"/>
    <mergeCell ref="C10:E11"/>
    <mergeCell ref="F10:M11"/>
    <mergeCell ref="C12:E13"/>
    <mergeCell ref="F12:M13"/>
    <mergeCell ref="C15:M16"/>
    <mergeCell ref="C17:C19"/>
    <mergeCell ref="D17:E19"/>
    <mergeCell ref="F17:G19"/>
    <mergeCell ref="H17:I19"/>
    <mergeCell ref="J17:K19"/>
    <mergeCell ref="L17:M19"/>
  </mergeCells>
  <phoneticPr fontId="2"/>
  <printOptions horizontalCentered="1"/>
  <pageMargins left="0.78740157480314965" right="0.59055118110236227" top="0.59055118110236227" bottom="0.59055118110236227" header="0.51181102362204722" footer="0.51181102362204722"/>
  <pageSetup paperSize="9" scale="89" orientation="portrait" errors="blank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65"/>
  <sheetViews>
    <sheetView zoomScaleNormal="100" zoomScaleSheetLayoutView="85" workbookViewId="0">
      <selection activeCell="L19" sqref="L19:M20"/>
    </sheetView>
  </sheetViews>
  <sheetFormatPr defaultRowHeight="13.5" x14ac:dyDescent="0.15"/>
  <cols>
    <col min="1" max="1" width="11" style="162" customWidth="1"/>
    <col min="2" max="2" width="10" style="162" customWidth="1"/>
    <col min="3" max="3" width="10" style="162" customWidth="1" collapsed="1"/>
    <col min="4" max="4" width="3.75" style="162" customWidth="1"/>
    <col min="5" max="5" width="5.625" style="162" customWidth="1"/>
    <col min="6" max="6" width="12.625" style="162" customWidth="1"/>
    <col min="7" max="7" width="8.625" style="162" customWidth="1"/>
    <col min="8" max="8" width="13.625" style="162" customWidth="1"/>
    <col min="9" max="10" width="8.625" style="162" customWidth="1"/>
    <col min="11" max="11" width="10.375" style="162" customWidth="1"/>
    <col min="12" max="12" width="4.375" style="162" customWidth="1"/>
    <col min="13" max="13" width="3.625" style="162" customWidth="1"/>
    <col min="14" max="16384" width="9" style="162"/>
  </cols>
  <sheetData>
    <row r="1" spans="1:13" ht="29.25" customHeight="1" thickBot="1" x14ac:dyDescent="0.2">
      <c r="A1" s="161" t="s">
        <v>887</v>
      </c>
      <c r="C1" s="432" t="str">
        <f>DBCS(CONCATENATE(メインシート!$B$2,メインシート!$C$2,メインシート!$D$2,メインシート!$F$2," ",メインシート!B3,メインシート!C3,メインシート!D3,メインシート!F3))</f>
        <v>平成２８年度東北中学校体育大会　第３９回東北中学校柔道大会</v>
      </c>
      <c r="D1" s="432"/>
      <c r="E1" s="432"/>
      <c r="F1" s="432"/>
      <c r="G1" s="432"/>
      <c r="H1" s="432"/>
      <c r="I1" s="432"/>
      <c r="J1" s="432"/>
      <c r="K1" s="432"/>
      <c r="L1" s="432"/>
      <c r="M1" s="432"/>
    </row>
    <row r="2" spans="1:13" ht="24.75" thickBot="1" x14ac:dyDescent="0.2">
      <c r="A2" s="163">
        <f>メインシート!C6</f>
        <v>0</v>
      </c>
      <c r="C2" s="433" t="s">
        <v>51</v>
      </c>
      <c r="D2" s="433"/>
      <c r="E2" s="433"/>
      <c r="F2" s="433"/>
      <c r="G2" s="433"/>
      <c r="H2" s="433"/>
      <c r="I2" s="433"/>
      <c r="J2" s="434"/>
      <c r="K2" s="433"/>
      <c r="L2" s="433"/>
      <c r="M2" s="433"/>
    </row>
    <row r="3" spans="1:13" ht="6.75" customHeight="1" thickBot="1" x14ac:dyDescent="0.2"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ht="24.95" customHeight="1" thickBot="1" x14ac:dyDescent="0.2">
      <c r="A4" s="163">
        <f>メインシート!$C$8</f>
        <v>4</v>
      </c>
      <c r="C4" s="445" t="s">
        <v>15</v>
      </c>
      <c r="D4" s="445"/>
      <c r="E4" s="439" t="str">
        <f>VLOOKUP($A$4,メインシート!$B$13:$D$18,2,0)</f>
        <v>山形</v>
      </c>
      <c r="F4" s="440"/>
      <c r="G4" s="165" t="s">
        <v>16</v>
      </c>
      <c r="H4" s="441" t="s">
        <v>17</v>
      </c>
      <c r="I4" s="442"/>
      <c r="J4" s="437" t="str">
        <f>IF(入力ﾌｫｰﾑ!$D$10="","",入力ﾌｫｰﾑ!$D$10)</f>
        <v/>
      </c>
      <c r="K4" s="438"/>
      <c r="L4" s="443" t="s">
        <v>10</v>
      </c>
      <c r="M4" s="444"/>
    </row>
    <row r="5" spans="1:13" ht="17.100000000000001" customHeight="1" x14ac:dyDescent="0.15">
      <c r="C5" s="446" t="s">
        <v>42</v>
      </c>
      <c r="D5" s="447"/>
      <c r="E5" s="379" t="e">
        <f>VLOOKUP($A$2,学校ﾏｽﾀｰ!$C$4:$AC$363,25,0)</f>
        <v>#N/A</v>
      </c>
      <c r="F5" s="380"/>
      <c r="G5" s="380"/>
      <c r="H5" s="380"/>
      <c r="I5" s="380"/>
      <c r="J5" s="380"/>
      <c r="K5" s="380"/>
      <c r="L5" s="380"/>
      <c r="M5" s="381"/>
    </row>
    <row r="6" spans="1:13" ht="27" customHeight="1" x14ac:dyDescent="0.15">
      <c r="C6" s="435" t="s">
        <v>0</v>
      </c>
      <c r="D6" s="436"/>
      <c r="E6" s="376" t="e">
        <f>VLOOKUP($A$2,学校ﾏｽﾀｰ!$C$4:$AC$363,3,0)</f>
        <v>#N/A</v>
      </c>
      <c r="F6" s="377"/>
      <c r="G6" s="377"/>
      <c r="H6" s="377"/>
      <c r="I6" s="377"/>
      <c r="J6" s="377"/>
      <c r="K6" s="377"/>
      <c r="L6" s="377"/>
      <c r="M6" s="378"/>
    </row>
    <row r="7" spans="1:13" ht="36.75" customHeight="1" x14ac:dyDescent="0.15">
      <c r="C7" s="435" t="s">
        <v>39</v>
      </c>
      <c r="D7" s="436"/>
      <c r="E7" s="451" t="str">
        <f>IF(メインシート!$H$7="","",メインシート!$H$7)</f>
        <v/>
      </c>
      <c r="F7" s="452"/>
      <c r="G7" s="452"/>
      <c r="H7" s="452"/>
      <c r="I7" s="452"/>
      <c r="J7" s="452"/>
      <c r="K7" s="448" t="s">
        <v>40</v>
      </c>
      <c r="L7" s="449"/>
      <c r="M7" s="450"/>
    </row>
    <row r="8" spans="1:13" ht="27" customHeight="1" x14ac:dyDescent="0.15">
      <c r="C8" s="388" t="s">
        <v>25</v>
      </c>
      <c r="D8" s="389"/>
      <c r="E8" s="166" t="s">
        <v>43</v>
      </c>
      <c r="F8" s="167" t="e">
        <f>VLOOKUP($A$2,学校ﾏｽﾀｰ!$C$4:$AC$363,19,0)</f>
        <v>#N/A</v>
      </c>
      <c r="G8" s="168" t="s">
        <v>26</v>
      </c>
      <c r="H8" s="415" t="e">
        <f>VLOOKUP($A$2,学校ﾏｽﾀｰ!$C$4:$AC$363,20,0)</f>
        <v>#N/A</v>
      </c>
      <c r="I8" s="416"/>
      <c r="J8" s="416"/>
      <c r="K8" s="416"/>
      <c r="L8" s="416"/>
      <c r="M8" s="417"/>
    </row>
    <row r="9" spans="1:13" ht="27" customHeight="1" x14ac:dyDescent="0.15">
      <c r="C9" s="390"/>
      <c r="D9" s="391"/>
      <c r="E9" s="166" t="s">
        <v>44</v>
      </c>
      <c r="F9" s="420" t="e">
        <f>VLOOKUP($A$2,学校ﾏｽﾀｰ!$C$4:$AC$363,17,0)</f>
        <v>#N/A</v>
      </c>
      <c r="G9" s="421"/>
      <c r="H9" s="422"/>
      <c r="I9" s="168" t="s">
        <v>45</v>
      </c>
      <c r="J9" s="420" t="e">
        <f>VLOOKUP($A$2,学校ﾏｽﾀｰ!$C$4:$AC$363,18,0)</f>
        <v>#N/A</v>
      </c>
      <c r="K9" s="421"/>
      <c r="L9" s="421"/>
      <c r="M9" s="422"/>
    </row>
    <row r="10" spans="1:13" ht="17.100000000000001" customHeight="1" x14ac:dyDescent="0.15">
      <c r="C10" s="388" t="s">
        <v>27</v>
      </c>
      <c r="D10" s="389"/>
      <c r="E10" s="169" t="s">
        <v>46</v>
      </c>
      <c r="F10" s="404" t="str">
        <f>IF(F11="","",VLOOKUP(F11,入力ﾌｫｰﾑ!$C$4:$E$7,3,0))</f>
        <v/>
      </c>
      <c r="G10" s="405" t="e">
        <f>IF(#REF!="","",VLOOKUP(#REF!,入力ﾌｫｰﾑ!$C$4:$E$7,2,0))</f>
        <v>#REF!</v>
      </c>
      <c r="H10" s="405" t="str">
        <f>IF(C11="","",VLOOKUP(C11,入力ﾌｫｰﾑ!$C$4:$E$7,2,0))</f>
        <v/>
      </c>
      <c r="I10" s="406" t="str">
        <f>IF(D11="","",VLOOKUP(D11,入力ﾌｫｰﾑ!$C$4:$E$7,2,0))</f>
        <v/>
      </c>
      <c r="J10" s="431" t="s">
        <v>28</v>
      </c>
      <c r="K10" s="392" t="str">
        <f>IF(F11="","",VLOOKUP(F11,入力ﾌｫｰﾑ!$C$4:$E$7,2,0))</f>
        <v/>
      </c>
      <c r="L10" s="418"/>
      <c r="M10" s="393"/>
    </row>
    <row r="11" spans="1:13" ht="27" customHeight="1" x14ac:dyDescent="0.15">
      <c r="A11" s="162">
        <f>入力ﾌｫｰﾑ!$A$11</f>
        <v>141001</v>
      </c>
      <c r="C11" s="396"/>
      <c r="D11" s="397"/>
      <c r="E11" s="170" t="s">
        <v>29</v>
      </c>
      <c r="F11" s="407" t="str">
        <f>IF(VLOOKUP($A11,入力ﾌｫｰﾑ!$A$11:$F$27,4,0)="","",VLOOKUP($A11,入力ﾌｫｰﾑ!$A$11:$F$27,4,0))</f>
        <v/>
      </c>
      <c r="G11" s="408"/>
      <c r="H11" s="408"/>
      <c r="I11" s="409"/>
      <c r="J11" s="412"/>
      <c r="K11" s="394"/>
      <c r="L11" s="419"/>
      <c r="M11" s="395"/>
    </row>
    <row r="12" spans="1:13" ht="27" customHeight="1" x14ac:dyDescent="0.15">
      <c r="A12" s="162">
        <f>入力ﾌｫｰﾑ!$A$11</f>
        <v>141001</v>
      </c>
      <c r="C12" s="390"/>
      <c r="D12" s="391"/>
      <c r="E12" s="166" t="s">
        <v>47</v>
      </c>
      <c r="F12" s="420" t="str">
        <f>IF(VLOOKUP($A12,入力ﾌｫｰﾑ!$A$11:$F$27,5,0)="","",VLOOKUP($A12,入力ﾌｫｰﾑ!$A$11:$F$27,5,0))</f>
        <v/>
      </c>
      <c r="G12" s="421"/>
      <c r="H12" s="422"/>
      <c r="I12" s="168" t="s">
        <v>30</v>
      </c>
      <c r="J12" s="420" t="str">
        <f>IF(VLOOKUP($A12,入力ﾌｫｰﾑ!$A$11:$F$27,6,0)="","",VLOOKUP($A12,入力ﾌｫｰﾑ!$A$11:$F$27,6,0))</f>
        <v/>
      </c>
      <c r="K12" s="421"/>
      <c r="L12" s="421"/>
      <c r="M12" s="422"/>
    </row>
    <row r="13" spans="1:13" ht="17.100000000000001" customHeight="1" x14ac:dyDescent="0.15">
      <c r="C13" s="388" t="s">
        <v>41</v>
      </c>
      <c r="D13" s="389"/>
      <c r="E13" s="169" t="s">
        <v>48</v>
      </c>
      <c r="F13" s="404" t="str">
        <f>IF(F14="","",VLOOKUP(F14,入力ﾌｫｰﾑ!$C$4:$E$7,3,0))</f>
        <v/>
      </c>
      <c r="G13" s="405"/>
      <c r="H13" s="405"/>
      <c r="I13" s="406"/>
      <c r="J13" s="423" t="s">
        <v>33</v>
      </c>
      <c r="K13" s="392" t="str">
        <f>IF($F14="","",VLOOKUP($F14,メインシート!$H$13:$R$19,9,0))</f>
        <v/>
      </c>
      <c r="L13" s="418"/>
      <c r="M13" s="393"/>
    </row>
    <row r="14" spans="1:13" ht="24.95" customHeight="1" x14ac:dyDescent="0.15">
      <c r="A14" s="162">
        <f>入力ﾌｫｰﾑ!$A$12</f>
        <v>141002</v>
      </c>
      <c r="C14" s="390"/>
      <c r="D14" s="391"/>
      <c r="E14" s="170" t="s">
        <v>29</v>
      </c>
      <c r="F14" s="407" t="str">
        <f>IF(VLOOKUP($A14,入力ﾌｫｰﾑ!$A$11:$F$27,4,0)="","",VLOOKUP($A14,入力ﾌｫｰﾑ!$A$11:$F$27,4,0))</f>
        <v/>
      </c>
      <c r="G14" s="408"/>
      <c r="H14" s="408"/>
      <c r="I14" s="409"/>
      <c r="J14" s="424"/>
      <c r="K14" s="394"/>
      <c r="L14" s="419"/>
      <c r="M14" s="395"/>
    </row>
    <row r="15" spans="1:13" ht="7.5" customHeight="1" x14ac:dyDescent="0.15">
      <c r="C15" s="171"/>
      <c r="D15" s="172"/>
      <c r="E15" s="172"/>
      <c r="F15" s="172"/>
      <c r="G15" s="172"/>
      <c r="H15" s="172"/>
      <c r="I15" s="172"/>
      <c r="J15" s="172"/>
      <c r="K15" s="172"/>
      <c r="L15" s="172"/>
      <c r="M15" s="173"/>
    </row>
    <row r="16" spans="1:13" ht="17.25" customHeight="1" x14ac:dyDescent="0.15">
      <c r="C16" s="386" t="s">
        <v>1</v>
      </c>
      <c r="D16" s="371" t="s">
        <v>14</v>
      </c>
      <c r="E16" s="372"/>
      <c r="F16" s="372"/>
      <c r="G16" s="372"/>
      <c r="H16" s="373"/>
      <c r="I16" s="410" t="s">
        <v>11</v>
      </c>
      <c r="J16" s="410" t="s">
        <v>35</v>
      </c>
      <c r="K16" s="410" t="s">
        <v>34</v>
      </c>
      <c r="L16" s="425" t="s">
        <v>9</v>
      </c>
      <c r="M16" s="426"/>
    </row>
    <row r="17" spans="3:13" ht="13.5" customHeight="1" x14ac:dyDescent="0.15">
      <c r="C17" s="453"/>
      <c r="D17" s="457" t="s">
        <v>49</v>
      </c>
      <c r="E17" s="458"/>
      <c r="F17" s="458"/>
      <c r="G17" s="458"/>
      <c r="H17" s="459"/>
      <c r="I17" s="411"/>
      <c r="J17" s="411"/>
      <c r="K17" s="411"/>
      <c r="L17" s="427"/>
      <c r="M17" s="428"/>
    </row>
    <row r="18" spans="3:13" ht="17.25" customHeight="1" x14ac:dyDescent="0.15">
      <c r="C18" s="454"/>
      <c r="D18" s="460" t="s">
        <v>37</v>
      </c>
      <c r="E18" s="461"/>
      <c r="F18" s="461"/>
      <c r="G18" s="455" t="s">
        <v>38</v>
      </c>
      <c r="H18" s="456"/>
      <c r="I18" s="412"/>
      <c r="J18" s="412"/>
      <c r="K18" s="412"/>
      <c r="L18" s="429"/>
      <c r="M18" s="430"/>
    </row>
    <row r="19" spans="3:13" ht="17.100000000000001" customHeight="1" x14ac:dyDescent="0.15">
      <c r="C19" s="386" t="s">
        <v>5</v>
      </c>
      <c r="D19" s="398" t="str">
        <f>IF(VLOOKUP($C19,入力ﾌｫｰﾑ!$V$3:$AF$10,6,0)="","",VLOOKUP($C19,入力ﾌｫｰﾑ!$V$3:$AF$10,6,0))</f>
        <v/>
      </c>
      <c r="E19" s="399"/>
      <c r="F19" s="400"/>
      <c r="G19" s="374" t="str">
        <f>IF(VLOOKUP($C19,入力ﾌｫｰﾑ!$V$3:$AF$10,7,0)="","",VLOOKUP($C19,入力ﾌｫｰﾑ!$V$3:$AF$10,7,0))</f>
        <v/>
      </c>
      <c r="H19" s="375"/>
      <c r="I19" s="369" t="str">
        <f>IF(VLOOKUP($C19,入力ﾌｫｰﾑ!$V$3:$AF$10,8,0)="","",VLOOKUP($C19,入力ﾌｫｰﾑ!$V$3:$AF$10,8,0))</f>
        <v/>
      </c>
      <c r="J19" s="369" t="str">
        <f>IF(VLOOKUP($C19,入力ﾌｫｰﾑ!$V$3:$AF$10,9,0)="","",VLOOKUP($C19,入力ﾌｫｰﾑ!$V$3:$AF$10,9,0))</f>
        <v/>
      </c>
      <c r="K19" s="369" t="str">
        <f>IF(VLOOKUP($C19,入力ﾌｫｰﾑ!$V$3:$AF$10,10,0)="","",VLOOKUP($C19,入力ﾌｫｰﾑ!$V$3:$AF$10,10,0))</f>
        <v/>
      </c>
      <c r="L19" s="392" t="str">
        <f>IF(VLOOKUP($C19,入力ﾌｫｰﾑ!$V$3:$AF$10,11,0)="","",VLOOKUP($C19,入力ﾌｫｰﾑ!$V$3:$AF$10,11,0))</f>
        <v/>
      </c>
      <c r="M19" s="393"/>
    </row>
    <row r="20" spans="3:13" ht="27" customHeight="1" x14ac:dyDescent="0.15">
      <c r="C20" s="387"/>
      <c r="D20" s="401" t="str">
        <f>IF(VLOOKUP($C19,入力ﾌｫｰﾑ!$V$3:$AF$10,4,0)="","",VLOOKUP($C19,入力ﾌｫｰﾑ!$V$3:$AF$10,4,0))</f>
        <v/>
      </c>
      <c r="E20" s="402"/>
      <c r="F20" s="403"/>
      <c r="G20" s="413" t="str">
        <f>IF(VLOOKUP($C19,入力ﾌｫｰﾑ!$V$3:$AF$10,5,0)="","",VLOOKUP($C19,入力ﾌｫｰﾑ!$V$3:$AF$10,5,0))</f>
        <v/>
      </c>
      <c r="H20" s="414"/>
      <c r="I20" s="370"/>
      <c r="J20" s="370"/>
      <c r="K20" s="370"/>
      <c r="L20" s="394"/>
      <c r="M20" s="395"/>
    </row>
    <row r="21" spans="3:13" ht="17.100000000000001" customHeight="1" x14ac:dyDescent="0.15">
      <c r="C21" s="386" t="s">
        <v>61</v>
      </c>
      <c r="D21" s="398" t="str">
        <f>IF(VLOOKUP($C21,入力ﾌｫｰﾑ!$V$3:$AF$10,6,0)="","",VLOOKUP($C21,入力ﾌｫｰﾑ!$V$3:$AF$10,6,0))</f>
        <v/>
      </c>
      <c r="E21" s="399"/>
      <c r="F21" s="400"/>
      <c r="G21" s="374" t="str">
        <f>IF(VLOOKUP($C21,入力ﾌｫｰﾑ!$V$3:$AF$10,7,0)="","",VLOOKUP($C21,入力ﾌｫｰﾑ!$V$3:$AF$10,7,0))</f>
        <v/>
      </c>
      <c r="H21" s="375"/>
      <c r="I21" s="369" t="str">
        <f>IF(VLOOKUP($C21,入力ﾌｫｰﾑ!$V$3:$AF$10,8,0)="","",VLOOKUP($C21,入力ﾌｫｰﾑ!$V$3:$AF$10,8,0))</f>
        <v/>
      </c>
      <c r="J21" s="369" t="str">
        <f>IF(VLOOKUP($C21,入力ﾌｫｰﾑ!$V$3:$AF$10,9,0)="","",VLOOKUP($C21,入力ﾌｫｰﾑ!$V$3:$AF$10,9,0))</f>
        <v/>
      </c>
      <c r="K21" s="369" t="str">
        <f>IF(VLOOKUP($C21,入力ﾌｫｰﾑ!$V$3:$AF$10,10,0)="","",VLOOKUP($C21,入力ﾌｫｰﾑ!$V$3:$AF$10,10,0))</f>
        <v/>
      </c>
      <c r="L21" s="392" t="str">
        <f>IF(VLOOKUP($C21,入力ﾌｫｰﾑ!$V$3:$AF$10,11,0)="","",VLOOKUP($C21,入力ﾌｫｰﾑ!$V$3:$AF$10,11,0))</f>
        <v/>
      </c>
      <c r="M21" s="393"/>
    </row>
    <row r="22" spans="3:13" ht="27" customHeight="1" x14ac:dyDescent="0.15">
      <c r="C22" s="387"/>
      <c r="D22" s="401" t="str">
        <f>IF(VLOOKUP($C21,入力ﾌｫｰﾑ!$V$3:$AF$10,4,0)="","",VLOOKUP($C21,入力ﾌｫｰﾑ!$V$3:$AF$10,4,0))</f>
        <v/>
      </c>
      <c r="E22" s="402"/>
      <c r="F22" s="403"/>
      <c r="G22" s="413" t="str">
        <f>IF(VLOOKUP($C21,入力ﾌｫｰﾑ!$V$3:$AF$10,5,0)="","",VLOOKUP($C21,入力ﾌｫｰﾑ!$V$3:$AF$10,5,0))</f>
        <v/>
      </c>
      <c r="H22" s="414"/>
      <c r="I22" s="370"/>
      <c r="J22" s="370"/>
      <c r="K22" s="370"/>
      <c r="L22" s="394"/>
      <c r="M22" s="395"/>
    </row>
    <row r="23" spans="3:13" ht="17.100000000000001" customHeight="1" x14ac:dyDescent="0.15">
      <c r="C23" s="386" t="s">
        <v>4</v>
      </c>
      <c r="D23" s="398" t="str">
        <f>IF(VLOOKUP($C23,入力ﾌｫｰﾑ!$V$3:$AF$10,6,0)="","",VLOOKUP($C23,入力ﾌｫｰﾑ!$V$3:$AF$10,6,0))</f>
        <v/>
      </c>
      <c r="E23" s="399"/>
      <c r="F23" s="400"/>
      <c r="G23" s="374" t="str">
        <f>IF(VLOOKUP($C23,入力ﾌｫｰﾑ!$V$3:$AF$10,7,0)="","",VLOOKUP($C23,入力ﾌｫｰﾑ!$V$3:$AF$10,7,0))</f>
        <v/>
      </c>
      <c r="H23" s="375"/>
      <c r="I23" s="369" t="str">
        <f>IF(VLOOKUP($C23,入力ﾌｫｰﾑ!$V$3:$AF$10,8,0)="","",VLOOKUP($C23,入力ﾌｫｰﾑ!$V$3:$AF$10,8,0))</f>
        <v/>
      </c>
      <c r="J23" s="369" t="str">
        <f>IF(VLOOKUP($C23,入力ﾌｫｰﾑ!$V$3:$AF$10,9,0)="","",VLOOKUP($C23,入力ﾌｫｰﾑ!$V$3:$AF$10,9,0))</f>
        <v/>
      </c>
      <c r="K23" s="369" t="str">
        <f>IF(VLOOKUP($C23,入力ﾌｫｰﾑ!$V$3:$AF$10,10,0)="","",VLOOKUP($C23,入力ﾌｫｰﾑ!$V$3:$AF$10,10,0))</f>
        <v/>
      </c>
      <c r="L23" s="392" t="str">
        <f>IF(VLOOKUP($C23,入力ﾌｫｰﾑ!$V$3:$AF$10,11,0)="","",VLOOKUP($C23,入力ﾌｫｰﾑ!$V$3:$AF$10,11,0))</f>
        <v/>
      </c>
      <c r="M23" s="393"/>
    </row>
    <row r="24" spans="3:13" ht="27" customHeight="1" x14ac:dyDescent="0.15">
      <c r="C24" s="387"/>
      <c r="D24" s="401" t="str">
        <f>IF(VLOOKUP($C23,入力ﾌｫｰﾑ!$V$3:$AF$10,4,0)="","",VLOOKUP($C23,入力ﾌｫｰﾑ!$V$3:$AF$10,4,0))</f>
        <v/>
      </c>
      <c r="E24" s="402"/>
      <c r="F24" s="403"/>
      <c r="G24" s="413" t="str">
        <f>IF(VLOOKUP($C23,入力ﾌｫｰﾑ!$V$3:$AF$10,5,0)="","",VLOOKUP($C23,入力ﾌｫｰﾑ!$V$3:$AF$10,5,0))</f>
        <v/>
      </c>
      <c r="H24" s="414"/>
      <c r="I24" s="370"/>
      <c r="J24" s="370"/>
      <c r="K24" s="370"/>
      <c r="L24" s="394"/>
      <c r="M24" s="395"/>
    </row>
    <row r="25" spans="3:13" ht="17.100000000000001" customHeight="1" x14ac:dyDescent="0.15">
      <c r="C25" s="386" t="s">
        <v>3</v>
      </c>
      <c r="D25" s="398" t="str">
        <f>IF(VLOOKUP($C25,入力ﾌｫｰﾑ!$V$3:$AF$10,6,0)="","",VLOOKUP($C25,入力ﾌｫｰﾑ!$V$3:$AF$10,6,0))</f>
        <v/>
      </c>
      <c r="E25" s="399"/>
      <c r="F25" s="400"/>
      <c r="G25" s="374" t="str">
        <f>IF(VLOOKUP($C25,入力ﾌｫｰﾑ!$V$3:$AF$10,7,0)="","",VLOOKUP($C25,入力ﾌｫｰﾑ!$V$3:$AF$10,7,0))</f>
        <v/>
      </c>
      <c r="H25" s="375"/>
      <c r="I25" s="369" t="str">
        <f>IF(VLOOKUP($C25,入力ﾌｫｰﾑ!$V$3:$AF$10,8,0)="","",VLOOKUP($C25,入力ﾌｫｰﾑ!$V$3:$AF$10,8,0))</f>
        <v/>
      </c>
      <c r="J25" s="369" t="str">
        <f>IF(VLOOKUP($C25,入力ﾌｫｰﾑ!$V$3:$AF$10,9,0)="","",VLOOKUP($C25,入力ﾌｫｰﾑ!$V$3:$AF$10,9,0))</f>
        <v/>
      </c>
      <c r="K25" s="369" t="str">
        <f>IF(VLOOKUP($C25,入力ﾌｫｰﾑ!$V$3:$AF$10,10,0)="","",VLOOKUP($C25,入力ﾌｫｰﾑ!$V$3:$AF$10,10,0))</f>
        <v/>
      </c>
      <c r="L25" s="392" t="str">
        <f>IF(VLOOKUP($C25,入力ﾌｫｰﾑ!$V$3:$AF$10,11,0)="","",VLOOKUP($C25,入力ﾌｫｰﾑ!$V$3:$AF$10,11,0))</f>
        <v/>
      </c>
      <c r="M25" s="393"/>
    </row>
    <row r="26" spans="3:13" ht="27" customHeight="1" x14ac:dyDescent="0.15">
      <c r="C26" s="387"/>
      <c r="D26" s="401" t="str">
        <f>IF(VLOOKUP($C25,入力ﾌｫｰﾑ!$V$3:$AF$10,4,0)="","",VLOOKUP($C25,入力ﾌｫｰﾑ!$V$3:$AF$10,4,0))</f>
        <v/>
      </c>
      <c r="E26" s="402"/>
      <c r="F26" s="403"/>
      <c r="G26" s="413" t="str">
        <f>IF(VLOOKUP($C25,入力ﾌｫｰﾑ!$V$3:$AF$10,5,0)="","",VLOOKUP($C25,入力ﾌｫｰﾑ!$V$3:$AF$10,5,0))</f>
        <v/>
      </c>
      <c r="H26" s="414"/>
      <c r="I26" s="370"/>
      <c r="J26" s="370"/>
      <c r="K26" s="370"/>
      <c r="L26" s="394"/>
      <c r="M26" s="395"/>
    </row>
    <row r="27" spans="3:13" ht="17.100000000000001" customHeight="1" x14ac:dyDescent="0.15">
      <c r="C27" s="386" t="s">
        <v>2</v>
      </c>
      <c r="D27" s="398" t="str">
        <f>IF(VLOOKUP($C27,入力ﾌｫｰﾑ!$V$3:$AF$10,6,0)="","",VLOOKUP($C27,入力ﾌｫｰﾑ!$V$3:$AF$10,6,0))</f>
        <v/>
      </c>
      <c r="E27" s="399"/>
      <c r="F27" s="400"/>
      <c r="G27" s="374" t="str">
        <f>IF(VLOOKUP($C27,入力ﾌｫｰﾑ!$V$3:$AF$10,7,0)="","",VLOOKUP($C27,入力ﾌｫｰﾑ!$V$3:$AF$10,7,0))</f>
        <v/>
      </c>
      <c r="H27" s="375"/>
      <c r="I27" s="369" t="str">
        <f>IF(VLOOKUP($C27,入力ﾌｫｰﾑ!$V$3:$AF$10,8,0)="","",VLOOKUP($C27,入力ﾌｫｰﾑ!$V$3:$AF$10,8,0))</f>
        <v/>
      </c>
      <c r="J27" s="369" t="str">
        <f>IF(VLOOKUP($C27,入力ﾌｫｰﾑ!$V$3:$AF$10,9,0)="","",VLOOKUP($C27,入力ﾌｫｰﾑ!$V$3:$AF$10,9,0))</f>
        <v/>
      </c>
      <c r="K27" s="369" t="str">
        <f>IF(VLOOKUP($C27,入力ﾌｫｰﾑ!$V$3:$AF$10,10,0)="","",VLOOKUP($C27,入力ﾌｫｰﾑ!$V$3:$AF$10,10,0))</f>
        <v/>
      </c>
      <c r="L27" s="392" t="str">
        <f>IF(VLOOKUP($C27,入力ﾌｫｰﾑ!$V$3:$AF$10,11,0)="","",VLOOKUP($C27,入力ﾌｫｰﾑ!$V$3:$AF$10,11,0))</f>
        <v/>
      </c>
      <c r="M27" s="393"/>
    </row>
    <row r="28" spans="3:13" ht="27" customHeight="1" x14ac:dyDescent="0.15">
      <c r="C28" s="387"/>
      <c r="D28" s="401" t="str">
        <f>IF(VLOOKUP($C27,入力ﾌｫｰﾑ!$V$3:$AF$10,4,0)="","",VLOOKUP($C27,入力ﾌｫｰﾑ!$V$3:$AF$10,4,0))</f>
        <v/>
      </c>
      <c r="E28" s="402"/>
      <c r="F28" s="403"/>
      <c r="G28" s="413" t="str">
        <f>IF(VLOOKUP($C27,入力ﾌｫｰﾑ!$V$3:$AF$10,5,0)="","",VLOOKUP($C27,入力ﾌｫｰﾑ!$V$3:$AF$10,5,0))</f>
        <v/>
      </c>
      <c r="H28" s="414"/>
      <c r="I28" s="370"/>
      <c r="J28" s="370"/>
      <c r="K28" s="370"/>
      <c r="L28" s="394"/>
      <c r="M28" s="395"/>
    </row>
    <row r="29" spans="3:13" ht="17.100000000000001" customHeight="1" x14ac:dyDescent="0.15">
      <c r="C29" s="386" t="s">
        <v>6</v>
      </c>
      <c r="D29" s="398" t="str">
        <f>IF(VLOOKUP($C29,入力ﾌｫｰﾑ!$V$3:$AF$10,6,0)="","",VLOOKUP($C29,入力ﾌｫｰﾑ!$V$3:$AF$10,6,0))</f>
        <v/>
      </c>
      <c r="E29" s="399"/>
      <c r="F29" s="400"/>
      <c r="G29" s="374" t="str">
        <f>IF(VLOOKUP($C29,入力ﾌｫｰﾑ!$V$3:$AF$10,7,0)="","",VLOOKUP($C29,入力ﾌｫｰﾑ!$V$3:$AF$10,7,0))</f>
        <v/>
      </c>
      <c r="H29" s="375"/>
      <c r="I29" s="369" t="str">
        <f>IF(VLOOKUP($C29,入力ﾌｫｰﾑ!$V$3:$AF$10,8,0)="","",VLOOKUP($C29,入力ﾌｫｰﾑ!$V$3:$AF$10,8,0))</f>
        <v/>
      </c>
      <c r="J29" s="369" t="str">
        <f>IF(VLOOKUP($C29,入力ﾌｫｰﾑ!$V$3:$AF$10,9,0)="","",VLOOKUP($C29,入力ﾌｫｰﾑ!$V$3:$AF$10,9,0))</f>
        <v/>
      </c>
      <c r="K29" s="369" t="str">
        <f>IF(VLOOKUP($C29,入力ﾌｫｰﾑ!$V$3:$AF$10,10,0)="","",VLOOKUP($C29,入力ﾌｫｰﾑ!$V$3:$AF$10,10,0))</f>
        <v/>
      </c>
      <c r="L29" s="392" t="str">
        <f>IF(VLOOKUP($C29,入力ﾌｫｰﾑ!$V$3:$AF$10,11,0)="","",VLOOKUP($C29,入力ﾌｫｰﾑ!$V$3:$AF$10,11,0))</f>
        <v/>
      </c>
      <c r="M29" s="393"/>
    </row>
    <row r="30" spans="3:13" ht="27" customHeight="1" x14ac:dyDescent="0.15">
      <c r="C30" s="387"/>
      <c r="D30" s="401" t="str">
        <f>IF(VLOOKUP($C29,入力ﾌｫｰﾑ!$V$3:$AF$10,4,0)="","",VLOOKUP($C29,入力ﾌｫｰﾑ!$V$3:$AF$10,4,0))</f>
        <v/>
      </c>
      <c r="E30" s="402"/>
      <c r="F30" s="403"/>
      <c r="G30" s="413" t="str">
        <f>IF(VLOOKUP($C29,入力ﾌｫｰﾑ!$V$3:$AF$10,5,0)="","",VLOOKUP($C29,入力ﾌｫｰﾑ!$V$3:$AF$10,5,0))</f>
        <v/>
      </c>
      <c r="H30" s="414"/>
      <c r="I30" s="370"/>
      <c r="J30" s="370"/>
      <c r="K30" s="370"/>
      <c r="L30" s="394"/>
      <c r="M30" s="395"/>
    </row>
    <row r="31" spans="3:13" ht="17.100000000000001" customHeight="1" x14ac:dyDescent="0.15">
      <c r="C31" s="386" t="s">
        <v>7</v>
      </c>
      <c r="D31" s="398" t="str">
        <f>IF(VLOOKUP($C31,入力ﾌｫｰﾑ!$V$3:$AF$10,6,0)="","",VLOOKUP($C31,入力ﾌｫｰﾑ!$V$3:$AF$10,6,0))</f>
        <v/>
      </c>
      <c r="E31" s="399"/>
      <c r="F31" s="400"/>
      <c r="G31" s="374" t="str">
        <f>IF(VLOOKUP($C31,入力ﾌｫｰﾑ!$V$3:$AF$10,7,0)="","",VLOOKUP($C31,入力ﾌｫｰﾑ!$V$3:$AF$10,7,0))</f>
        <v/>
      </c>
      <c r="H31" s="375"/>
      <c r="I31" s="369" t="str">
        <f>IF(VLOOKUP($C31,入力ﾌｫｰﾑ!$V$3:$AF$10,8,0)="","",VLOOKUP($C31,入力ﾌｫｰﾑ!$V$3:$AF$10,8,0))</f>
        <v/>
      </c>
      <c r="J31" s="369" t="str">
        <f>IF(VLOOKUP($C31,入力ﾌｫｰﾑ!$V$3:$AF$10,9,0)="","",VLOOKUP($C31,入力ﾌｫｰﾑ!$V$3:$AF$10,9,0))</f>
        <v/>
      </c>
      <c r="K31" s="369" t="str">
        <f>IF(VLOOKUP($C31,入力ﾌｫｰﾑ!$V$3:$AF$10,10,0)="","",VLOOKUP($C31,入力ﾌｫｰﾑ!$V$3:$AF$10,10,0))</f>
        <v/>
      </c>
      <c r="L31" s="392" t="str">
        <f>IF(VLOOKUP($C31,入力ﾌｫｰﾑ!$V$3:$AF$10,11,0)="","",VLOOKUP($C31,入力ﾌｫｰﾑ!$V$3:$AF$10,11,0))</f>
        <v/>
      </c>
      <c r="M31" s="393"/>
    </row>
    <row r="32" spans="3:13" ht="27" customHeight="1" x14ac:dyDescent="0.15">
      <c r="C32" s="387"/>
      <c r="D32" s="401" t="str">
        <f>IF(VLOOKUP($C31,入力ﾌｫｰﾑ!$V$3:$AF$10,4,0)="","",VLOOKUP($C31,入力ﾌｫｰﾑ!$V$3:$AF$10,4,0))</f>
        <v/>
      </c>
      <c r="E32" s="402"/>
      <c r="F32" s="403"/>
      <c r="G32" s="413" t="str">
        <f>IF(VLOOKUP($C31,入力ﾌｫｰﾑ!$V$3:$AF$10,5,0)="","",VLOOKUP($C31,入力ﾌｫｰﾑ!$V$3:$AF$10,5,0))</f>
        <v/>
      </c>
      <c r="H32" s="414"/>
      <c r="I32" s="370"/>
      <c r="J32" s="370"/>
      <c r="K32" s="370"/>
      <c r="L32" s="394"/>
      <c r="M32" s="395"/>
    </row>
    <row r="33" spans="3:13" ht="17.100000000000001" customHeight="1" x14ac:dyDescent="0.15">
      <c r="C33" s="386" t="s">
        <v>8</v>
      </c>
      <c r="D33" s="398" t="str">
        <f>IF(VLOOKUP($C33,入力ﾌｫｰﾑ!$V$3:$AF$10,6,0)="","",VLOOKUP($C33,入力ﾌｫｰﾑ!$V$3:$AF$10,6,0))</f>
        <v/>
      </c>
      <c r="E33" s="399"/>
      <c r="F33" s="400"/>
      <c r="G33" s="374" t="str">
        <f>IF(VLOOKUP($C33,入力ﾌｫｰﾑ!$V$3:$AF$10,7,0)="","",VLOOKUP($C33,入力ﾌｫｰﾑ!$V$3:$AF$10,7,0))</f>
        <v/>
      </c>
      <c r="H33" s="375"/>
      <c r="I33" s="369" t="str">
        <f>IF(VLOOKUP($C33,入力ﾌｫｰﾑ!$V$3:$AF$10,8,0)="","",VLOOKUP($C33,入力ﾌｫｰﾑ!$V$3:$AF$10,8,0))</f>
        <v/>
      </c>
      <c r="J33" s="369" t="str">
        <f>IF(VLOOKUP($C33,入力ﾌｫｰﾑ!$V$3:$AF$10,9,0)="","",VLOOKUP($C33,入力ﾌｫｰﾑ!$V$3:$AF$10,9,0))</f>
        <v/>
      </c>
      <c r="K33" s="369" t="str">
        <f>IF(VLOOKUP($C33,入力ﾌｫｰﾑ!$V$3:$AF$10,10,0)="","",VLOOKUP($C33,入力ﾌｫｰﾑ!$V$3:$AF$10,10,0))</f>
        <v/>
      </c>
      <c r="L33" s="392" t="str">
        <f>IF(VLOOKUP($C33,入力ﾌｫｰﾑ!$V$3:$AF$10,11,0)="","",VLOOKUP($C33,入力ﾌｫｰﾑ!$V$3:$AF$10,11,0))</f>
        <v/>
      </c>
      <c r="M33" s="393"/>
    </row>
    <row r="34" spans="3:13" ht="27" customHeight="1" x14ac:dyDescent="0.15">
      <c r="C34" s="387"/>
      <c r="D34" s="401" t="str">
        <f>IF(VLOOKUP($C33,入力ﾌｫｰﾑ!$V$3:$AF$10,4,0)="","",VLOOKUP($C33,入力ﾌｫｰﾑ!$V$3:$AF$10,4,0))</f>
        <v/>
      </c>
      <c r="E34" s="402"/>
      <c r="F34" s="403"/>
      <c r="G34" s="413" t="str">
        <f>IF(VLOOKUP($C33,入力ﾌｫｰﾑ!$V$3:$AF$10,5,0)="","",VLOOKUP($C33,入力ﾌｫｰﾑ!$V$3:$AF$10,5,0))</f>
        <v/>
      </c>
      <c r="H34" s="414"/>
      <c r="I34" s="370"/>
      <c r="J34" s="370"/>
      <c r="K34" s="370"/>
      <c r="L34" s="394"/>
      <c r="M34" s="395"/>
    </row>
    <row r="35" spans="3:13" ht="6.75" customHeight="1" x14ac:dyDescent="0.15"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</row>
    <row r="36" spans="3:13" ht="6.75" customHeight="1" x14ac:dyDescent="0.15">
      <c r="C36" s="174"/>
      <c r="D36" s="174"/>
      <c r="E36" s="174"/>
      <c r="F36" s="174"/>
      <c r="G36" s="174"/>
      <c r="H36" s="175"/>
      <c r="I36" s="175"/>
      <c r="J36" s="175"/>
      <c r="K36" s="176"/>
      <c r="L36" s="176"/>
      <c r="M36" s="176"/>
    </row>
    <row r="37" spans="3:13" ht="24" customHeight="1" x14ac:dyDescent="0.15">
      <c r="C37" s="382" t="str">
        <f>IF(入力ﾌｫｰﾑ!$F$3="","（　　　）　大会出場者（引率・監督・コーチ・選手）の宿泊申込については，指定業者を通して申し込みます。","（　○　）　大会出場者（引率・監督・コーチ・選手）の宿泊申込については，指定業者を通して申し込みます。")</f>
        <v>（　　　）　大会出場者（引率・監督・コーチ・選手）の宿泊申込については，指定業者を通して申し込みます。</v>
      </c>
      <c r="D37" s="383"/>
      <c r="E37" s="383"/>
      <c r="F37" s="383"/>
      <c r="G37" s="383"/>
      <c r="H37" s="383"/>
      <c r="I37" s="383"/>
      <c r="J37" s="383"/>
      <c r="K37" s="383"/>
      <c r="L37" s="383"/>
      <c r="M37" s="383"/>
    </row>
    <row r="38" spans="3:13" ht="24" customHeight="1" x14ac:dyDescent="0.15">
      <c r="C38" s="382" t="str">
        <f>IF(入力ﾌｫｰﾑ!$F$3="","（　○　）　今回は宿泊を行わずに大会に参加します。","（　　　）　今回は宿泊を行わずに大会に参加します。")</f>
        <v>（　○　）　今回は宿泊を行わずに大会に参加します。</v>
      </c>
      <c r="D38" s="383"/>
      <c r="E38" s="383"/>
      <c r="F38" s="383"/>
      <c r="G38" s="383"/>
      <c r="H38" s="383"/>
      <c r="I38" s="383"/>
      <c r="J38" s="383"/>
      <c r="K38" s="383"/>
      <c r="L38" s="383"/>
      <c r="M38" s="383"/>
    </row>
    <row r="39" spans="3:13" ht="24" customHeight="1" x14ac:dyDescent="0.15">
      <c r="C39" s="384" t="s">
        <v>2658</v>
      </c>
      <c r="D39" s="385"/>
      <c r="E39" s="385"/>
      <c r="F39" s="385"/>
      <c r="G39" s="385"/>
      <c r="H39" s="385"/>
      <c r="I39" s="385"/>
      <c r="J39" s="385"/>
      <c r="K39" s="385"/>
      <c r="L39" s="385"/>
      <c r="M39" s="385"/>
    </row>
    <row r="40" spans="3:13" x14ac:dyDescent="0.15">
      <c r="C40" s="176"/>
      <c r="D40" s="177"/>
      <c r="E40" s="177"/>
      <c r="F40" s="177"/>
      <c r="G40" s="177"/>
      <c r="H40" s="177"/>
      <c r="I40" s="177"/>
    </row>
    <row r="41" spans="3:13" x14ac:dyDescent="0.15">
      <c r="C41" s="177"/>
      <c r="D41" s="177"/>
      <c r="E41" s="177"/>
      <c r="F41" s="177"/>
      <c r="G41" s="177"/>
      <c r="H41" s="177"/>
    </row>
    <row r="42" spans="3:13" x14ac:dyDescent="0.15">
      <c r="C42" s="177"/>
      <c r="D42" s="177"/>
      <c r="E42" s="177"/>
      <c r="F42" s="177"/>
      <c r="G42" s="177"/>
      <c r="H42" s="177"/>
    </row>
    <row r="43" spans="3:13" x14ac:dyDescent="0.15">
      <c r="C43" s="177"/>
      <c r="D43" s="177"/>
      <c r="E43" s="177"/>
      <c r="F43" s="177"/>
      <c r="G43" s="177"/>
      <c r="H43" s="177"/>
    </row>
    <row r="44" spans="3:13" x14ac:dyDescent="0.15">
      <c r="C44" s="177"/>
      <c r="D44" s="177"/>
      <c r="E44" s="177"/>
      <c r="F44" s="177"/>
      <c r="G44" s="177"/>
      <c r="H44" s="177"/>
    </row>
    <row r="45" spans="3:13" x14ac:dyDescent="0.15">
      <c r="C45" s="177"/>
      <c r="D45" s="177"/>
      <c r="E45" s="177"/>
      <c r="F45" s="177"/>
      <c r="G45" s="177"/>
      <c r="H45" s="177"/>
    </row>
    <row r="46" spans="3:13" x14ac:dyDescent="0.15">
      <c r="C46" s="177"/>
      <c r="D46" s="177"/>
      <c r="E46" s="177"/>
      <c r="F46" s="177"/>
      <c r="G46" s="177"/>
      <c r="H46" s="177"/>
    </row>
    <row r="47" spans="3:13" x14ac:dyDescent="0.15">
      <c r="C47" s="177"/>
      <c r="D47" s="177"/>
      <c r="E47" s="177"/>
      <c r="F47" s="177"/>
      <c r="G47" s="177"/>
      <c r="H47" s="177"/>
    </row>
    <row r="55" spans="7:7" x14ac:dyDescent="0.15">
      <c r="G55" s="178"/>
    </row>
    <row r="56" spans="7:7" x14ac:dyDescent="0.15">
      <c r="G56" s="178"/>
    </row>
    <row r="57" spans="7:7" x14ac:dyDescent="0.15">
      <c r="G57" s="178"/>
    </row>
    <row r="58" spans="7:7" x14ac:dyDescent="0.15">
      <c r="G58" s="178"/>
    </row>
    <row r="59" spans="7:7" x14ac:dyDescent="0.15">
      <c r="G59" s="178"/>
    </row>
    <row r="60" spans="7:7" x14ac:dyDescent="0.15">
      <c r="G60" s="178"/>
    </row>
    <row r="61" spans="7:7" x14ac:dyDescent="0.15">
      <c r="G61" s="178"/>
    </row>
    <row r="62" spans="7:7" x14ac:dyDescent="0.15">
      <c r="G62" s="178"/>
    </row>
    <row r="63" spans="7:7" x14ac:dyDescent="0.15">
      <c r="G63" s="178"/>
    </row>
    <row r="64" spans="7:7" x14ac:dyDescent="0.15">
      <c r="G64" s="178"/>
    </row>
    <row r="65" spans="7:7" x14ac:dyDescent="0.15">
      <c r="G65" s="178"/>
    </row>
  </sheetData>
  <sheetProtection sheet="1" objects="1" scenarios="1"/>
  <mergeCells count="114">
    <mergeCell ref="D18:F18"/>
    <mergeCell ref="C37:M37"/>
    <mergeCell ref="G32:H32"/>
    <mergeCell ref="D34:F34"/>
    <mergeCell ref="G34:H34"/>
    <mergeCell ref="J31:J32"/>
    <mergeCell ref="J33:J34"/>
    <mergeCell ref="C33:C34"/>
    <mergeCell ref="K33:K34"/>
    <mergeCell ref="L33:M34"/>
    <mergeCell ref="D31:F31"/>
    <mergeCell ref="I33:I34"/>
    <mergeCell ref="D33:F33"/>
    <mergeCell ref="K31:K32"/>
    <mergeCell ref="G33:H33"/>
    <mergeCell ref="G28:H28"/>
    <mergeCell ref="D29:F29"/>
    <mergeCell ref="D27:F27"/>
    <mergeCell ref="G29:H29"/>
    <mergeCell ref="D26:F26"/>
    <mergeCell ref="G26:H26"/>
    <mergeCell ref="I31:I32"/>
    <mergeCell ref="C31:C32"/>
    <mergeCell ref="D32:F32"/>
    <mergeCell ref="C1:M1"/>
    <mergeCell ref="C2:M2"/>
    <mergeCell ref="C6:D6"/>
    <mergeCell ref="J4:K4"/>
    <mergeCell ref="E4:F4"/>
    <mergeCell ref="C19:C20"/>
    <mergeCell ref="D20:F20"/>
    <mergeCell ref="H4:I4"/>
    <mergeCell ref="L4:M4"/>
    <mergeCell ref="C4:D4"/>
    <mergeCell ref="C5:D5"/>
    <mergeCell ref="K7:M7"/>
    <mergeCell ref="C7:D7"/>
    <mergeCell ref="E7:J7"/>
    <mergeCell ref="C16:C18"/>
    <mergeCell ref="G18:H18"/>
    <mergeCell ref="D17:H17"/>
    <mergeCell ref="I16:I18"/>
    <mergeCell ref="K13:M14"/>
    <mergeCell ref="J9:M9"/>
    <mergeCell ref="K16:K18"/>
    <mergeCell ref="C13:D14"/>
    <mergeCell ref="F12:H12"/>
    <mergeCell ref="I19:I20"/>
    <mergeCell ref="I21:I22"/>
    <mergeCell ref="D28:F28"/>
    <mergeCell ref="D21:F21"/>
    <mergeCell ref="G21:H21"/>
    <mergeCell ref="G23:H23"/>
    <mergeCell ref="C23:C24"/>
    <mergeCell ref="D22:F22"/>
    <mergeCell ref="G20:H20"/>
    <mergeCell ref="C21:C22"/>
    <mergeCell ref="G25:H25"/>
    <mergeCell ref="G24:H24"/>
    <mergeCell ref="G22:H22"/>
    <mergeCell ref="D25:F25"/>
    <mergeCell ref="C27:C28"/>
    <mergeCell ref="D23:F23"/>
    <mergeCell ref="I23:I24"/>
    <mergeCell ref="I25:I26"/>
    <mergeCell ref="I27:I28"/>
    <mergeCell ref="C29:C30"/>
    <mergeCell ref="G31:H31"/>
    <mergeCell ref="D30:F30"/>
    <mergeCell ref="G30:H30"/>
    <mergeCell ref="L27:M28"/>
    <mergeCell ref="L23:M24"/>
    <mergeCell ref="H8:M8"/>
    <mergeCell ref="K10:M11"/>
    <mergeCell ref="K27:K28"/>
    <mergeCell ref="K19:K20"/>
    <mergeCell ref="K21:K22"/>
    <mergeCell ref="J23:J24"/>
    <mergeCell ref="J25:J26"/>
    <mergeCell ref="L19:M20"/>
    <mergeCell ref="L21:M22"/>
    <mergeCell ref="J12:M12"/>
    <mergeCell ref="J13:J14"/>
    <mergeCell ref="F9:H9"/>
    <mergeCell ref="L16:M18"/>
    <mergeCell ref="J10:J11"/>
    <mergeCell ref="F13:I13"/>
    <mergeCell ref="F14:I14"/>
    <mergeCell ref="J21:J22"/>
    <mergeCell ref="L25:M26"/>
    <mergeCell ref="K25:K26"/>
    <mergeCell ref="D16:H16"/>
    <mergeCell ref="K23:K24"/>
    <mergeCell ref="G27:H27"/>
    <mergeCell ref="E6:M6"/>
    <mergeCell ref="E5:M5"/>
    <mergeCell ref="C38:M38"/>
    <mergeCell ref="C39:M39"/>
    <mergeCell ref="C25:C26"/>
    <mergeCell ref="C8:D9"/>
    <mergeCell ref="L29:M30"/>
    <mergeCell ref="K29:K30"/>
    <mergeCell ref="I29:I30"/>
    <mergeCell ref="L31:M32"/>
    <mergeCell ref="C10:D12"/>
    <mergeCell ref="J29:J30"/>
    <mergeCell ref="J19:J20"/>
    <mergeCell ref="G19:H19"/>
    <mergeCell ref="D19:F19"/>
    <mergeCell ref="J27:J28"/>
    <mergeCell ref="D24:F24"/>
    <mergeCell ref="F10:I10"/>
    <mergeCell ref="F11:I11"/>
    <mergeCell ref="J16:J18"/>
  </mergeCells>
  <phoneticPr fontId="3"/>
  <printOptions horizontalCentered="1"/>
  <pageMargins left="0.78740157480314965" right="0.59055118110236227" top="0.59055118110236227" bottom="0.59055118110236227" header="0.51181102362204722" footer="0.51181102362204722"/>
  <pageSetup paperSize="9" scale="99" orientation="portrait" errors="blank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zoomScale="95" zoomScaleNormal="95" zoomScaleSheetLayoutView="85" workbookViewId="0">
      <selection activeCell="C33" sqref="C33:M33"/>
    </sheetView>
  </sheetViews>
  <sheetFormatPr defaultRowHeight="13.5" x14ac:dyDescent="0.15"/>
  <cols>
    <col min="1" max="1" width="11" style="162" customWidth="1"/>
    <col min="2" max="2" width="10" style="162" customWidth="1"/>
    <col min="3" max="3" width="10" style="179" customWidth="1"/>
    <col min="4" max="4" width="3.75" style="179" customWidth="1"/>
    <col min="5" max="5" width="5.625" style="179" customWidth="1"/>
    <col min="6" max="6" width="12.625" style="179" customWidth="1"/>
    <col min="7" max="7" width="8.625" style="179" customWidth="1"/>
    <col min="8" max="8" width="13.625" style="179" customWidth="1"/>
    <col min="9" max="10" width="8.625" style="179" customWidth="1"/>
    <col min="11" max="11" width="10.375" style="179" customWidth="1"/>
    <col min="12" max="12" width="4.375" style="179" customWidth="1"/>
    <col min="13" max="13" width="3.625" style="179" customWidth="1"/>
    <col min="14" max="16384" width="9" style="179"/>
  </cols>
  <sheetData>
    <row r="1" spans="1:13" ht="29.25" customHeight="1" thickBot="1" x14ac:dyDescent="0.2">
      <c r="A1" s="161" t="s">
        <v>887</v>
      </c>
      <c r="C1" s="466" t="str">
        <f>男子団体!$C$1</f>
        <v>平成２８年度東北中学校体育大会　第３９回東北中学校柔道大会</v>
      </c>
      <c r="D1" s="466"/>
      <c r="E1" s="466"/>
      <c r="F1" s="466"/>
      <c r="G1" s="466"/>
      <c r="H1" s="466"/>
      <c r="I1" s="466"/>
      <c r="J1" s="466"/>
      <c r="K1" s="466"/>
      <c r="L1" s="466"/>
      <c r="M1" s="466"/>
    </row>
    <row r="2" spans="1:13" ht="24.75" thickBot="1" x14ac:dyDescent="0.2">
      <c r="A2" s="163">
        <f>メインシート!C6</f>
        <v>0</v>
      </c>
      <c r="C2" s="467" t="s">
        <v>50</v>
      </c>
      <c r="D2" s="467"/>
      <c r="E2" s="467"/>
      <c r="F2" s="467"/>
      <c r="G2" s="467"/>
      <c r="H2" s="467"/>
      <c r="I2" s="467"/>
      <c r="J2" s="468"/>
      <c r="K2" s="467"/>
      <c r="L2" s="467"/>
      <c r="M2" s="467"/>
    </row>
    <row r="3" spans="1:13" ht="6.75" customHeight="1" thickBot="1" x14ac:dyDescent="0.2"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ht="24.95" customHeight="1" thickBot="1" x14ac:dyDescent="0.2">
      <c r="A4" s="163">
        <f>メインシート!$C$8</f>
        <v>4</v>
      </c>
      <c r="C4" s="469" t="s">
        <v>15</v>
      </c>
      <c r="D4" s="469"/>
      <c r="E4" s="474" t="str">
        <f>VLOOKUP($A$4,メインシート!$B$13:$D$18,2,0)</f>
        <v>山形</v>
      </c>
      <c r="F4" s="475"/>
      <c r="G4" s="183" t="s">
        <v>16</v>
      </c>
      <c r="H4" s="470" t="s">
        <v>17</v>
      </c>
      <c r="I4" s="471"/>
      <c r="J4" s="476" t="str">
        <f>IF(入力ﾌｫｰﾑ!$D$15="","",入力ﾌｫｰﾑ!$D$15)</f>
        <v/>
      </c>
      <c r="K4" s="477"/>
      <c r="L4" s="472" t="s">
        <v>10</v>
      </c>
      <c r="M4" s="473"/>
    </row>
    <row r="5" spans="1:13" ht="17.100000000000001" customHeight="1" x14ac:dyDescent="0.15">
      <c r="C5" s="478" t="s">
        <v>24</v>
      </c>
      <c r="D5" s="479"/>
      <c r="E5" s="379" t="e">
        <f>VLOOKUP($A$2,学校ﾏｽﾀｰ!$C$4:$AC$363,25,0)</f>
        <v>#N/A</v>
      </c>
      <c r="F5" s="380"/>
      <c r="G5" s="380"/>
      <c r="H5" s="380"/>
      <c r="I5" s="380"/>
      <c r="J5" s="380"/>
      <c r="K5" s="380"/>
      <c r="L5" s="380"/>
      <c r="M5" s="381"/>
    </row>
    <row r="6" spans="1:13" ht="27" customHeight="1" x14ac:dyDescent="0.15">
      <c r="C6" s="480" t="s">
        <v>0</v>
      </c>
      <c r="D6" s="481"/>
      <c r="E6" s="376" t="e">
        <f>VLOOKUP($A$2,学校ﾏｽﾀｰ!$C$4:$AC$363,3,0)</f>
        <v>#N/A</v>
      </c>
      <c r="F6" s="377"/>
      <c r="G6" s="377"/>
      <c r="H6" s="377"/>
      <c r="I6" s="377"/>
      <c r="J6" s="377"/>
      <c r="K6" s="377"/>
      <c r="L6" s="377"/>
      <c r="M6" s="378"/>
    </row>
    <row r="7" spans="1:13" ht="36.75" customHeight="1" x14ac:dyDescent="0.15">
      <c r="C7" s="480" t="s">
        <v>39</v>
      </c>
      <c r="D7" s="481"/>
      <c r="E7" s="451" t="str">
        <f>IF(メインシート!$H$7="","",メインシート!$H$7)</f>
        <v/>
      </c>
      <c r="F7" s="452"/>
      <c r="G7" s="452"/>
      <c r="H7" s="452"/>
      <c r="I7" s="452"/>
      <c r="J7" s="452"/>
      <c r="K7" s="448" t="s">
        <v>40</v>
      </c>
      <c r="L7" s="449"/>
      <c r="M7" s="450"/>
    </row>
    <row r="8" spans="1:13" ht="27" customHeight="1" x14ac:dyDescent="0.15">
      <c r="C8" s="482" t="s">
        <v>25</v>
      </c>
      <c r="D8" s="483"/>
      <c r="E8" s="166" t="s">
        <v>43</v>
      </c>
      <c r="F8" s="167" t="e">
        <f>VLOOKUP($A$2,学校ﾏｽﾀｰ!$C$4:$AC$363,19,0)</f>
        <v>#N/A</v>
      </c>
      <c r="G8" s="168" t="s">
        <v>26</v>
      </c>
      <c r="H8" s="415" t="e">
        <f>VLOOKUP($A$2,学校ﾏｽﾀｰ!$C$4:$AC$363,20,0)</f>
        <v>#N/A</v>
      </c>
      <c r="I8" s="416"/>
      <c r="J8" s="416"/>
      <c r="K8" s="416"/>
      <c r="L8" s="416"/>
      <c r="M8" s="417"/>
    </row>
    <row r="9" spans="1:13" ht="27" customHeight="1" x14ac:dyDescent="0.15">
      <c r="C9" s="484"/>
      <c r="D9" s="485"/>
      <c r="E9" s="166" t="s">
        <v>44</v>
      </c>
      <c r="F9" s="420" t="e">
        <f>VLOOKUP($A$2,学校ﾏｽﾀｰ!$C$4:$AC$363,17,0)</f>
        <v>#N/A</v>
      </c>
      <c r="G9" s="421"/>
      <c r="H9" s="422"/>
      <c r="I9" s="168" t="s">
        <v>45</v>
      </c>
      <c r="J9" s="420" t="e">
        <f>VLOOKUP($A$2,学校ﾏｽﾀｰ!$C$4:$AC$363,18,0)</f>
        <v>#N/A</v>
      </c>
      <c r="K9" s="421"/>
      <c r="L9" s="421"/>
      <c r="M9" s="422"/>
    </row>
    <row r="10" spans="1:13" ht="17.100000000000001" customHeight="1" x14ac:dyDescent="0.15">
      <c r="C10" s="482" t="s">
        <v>27</v>
      </c>
      <c r="D10" s="483"/>
      <c r="E10" s="169" t="s">
        <v>24</v>
      </c>
      <c r="F10" s="404" t="str">
        <f>IF(F11="","",VLOOKUP(F11,入力ﾌｫｰﾑ!$C$4:$E$7,3,0))</f>
        <v/>
      </c>
      <c r="G10" s="405" t="e">
        <f>IF(#REF!="","",VLOOKUP(#REF!,入力ﾌｫｰﾑ!$C$4:$E$7,2,0))</f>
        <v>#REF!</v>
      </c>
      <c r="H10" s="405" t="str">
        <f>IF(C11="","",VLOOKUP(C11,入力ﾌｫｰﾑ!$C$4:$E$7,2,0))</f>
        <v/>
      </c>
      <c r="I10" s="406" t="str">
        <f>IF(D11="","",VLOOKUP(D11,入力ﾌｫｰﾑ!$C$4:$E$7,2,0))</f>
        <v/>
      </c>
      <c r="J10" s="431" t="s">
        <v>28</v>
      </c>
      <c r="K10" s="392" t="str">
        <f>IF(F11="","",VLOOKUP(F11,入力ﾌｫｰﾑ!$C$4:$E$7,2,0))</f>
        <v/>
      </c>
      <c r="L10" s="418"/>
      <c r="M10" s="393"/>
    </row>
    <row r="11" spans="1:13" ht="27" customHeight="1" x14ac:dyDescent="0.15">
      <c r="A11" s="162">
        <f>入力ﾌｫｰﾑ!$A$16</f>
        <v>241001</v>
      </c>
      <c r="C11" s="486"/>
      <c r="D11" s="487"/>
      <c r="E11" s="170" t="s">
        <v>29</v>
      </c>
      <c r="F11" s="407" t="str">
        <f>IF(VLOOKUP($A11,入力ﾌｫｰﾑ!$A$11:$F$27,4,0)="","",VLOOKUP($A11,入力ﾌｫｰﾑ!$A$11:$F$27,4,0))</f>
        <v/>
      </c>
      <c r="G11" s="408"/>
      <c r="H11" s="408"/>
      <c r="I11" s="409"/>
      <c r="J11" s="412"/>
      <c r="K11" s="394"/>
      <c r="L11" s="419"/>
      <c r="M11" s="395"/>
    </row>
    <row r="12" spans="1:13" ht="27" customHeight="1" x14ac:dyDescent="0.15">
      <c r="A12" s="162">
        <f>入力ﾌｫｰﾑ!$A$16</f>
        <v>241001</v>
      </c>
      <c r="C12" s="484"/>
      <c r="D12" s="485"/>
      <c r="E12" s="166" t="s">
        <v>44</v>
      </c>
      <c r="F12" s="420" t="str">
        <f>IF(VLOOKUP($A12,入力ﾌｫｰﾑ!$A$11:$F$27,5,0)="","",VLOOKUP($A12,入力ﾌｫｰﾑ!$A$11:$F$27,5,0))</f>
        <v/>
      </c>
      <c r="G12" s="421"/>
      <c r="H12" s="422"/>
      <c r="I12" s="168" t="s">
        <v>30</v>
      </c>
      <c r="J12" s="420" t="str">
        <f>IF(VLOOKUP($A12,入力ﾌｫｰﾑ!$A$11:$F$27,6,0)="","",VLOOKUP($A12,入力ﾌｫｰﾑ!$A$11:$F$27,6,0))</f>
        <v/>
      </c>
      <c r="K12" s="421"/>
      <c r="L12" s="421"/>
      <c r="M12" s="422"/>
    </row>
    <row r="13" spans="1:13" ht="17.100000000000001" customHeight="1" x14ac:dyDescent="0.15">
      <c r="C13" s="482" t="s">
        <v>41</v>
      </c>
      <c r="D13" s="483"/>
      <c r="E13" s="169" t="s">
        <v>24</v>
      </c>
      <c r="F13" s="404" t="str">
        <f>IF(F14="","",VLOOKUP(F14,入力ﾌｫｰﾑ!$C$4:$E$7,3,0))</f>
        <v/>
      </c>
      <c r="G13" s="405"/>
      <c r="H13" s="405"/>
      <c r="I13" s="406"/>
      <c r="J13" s="423" t="s">
        <v>33</v>
      </c>
      <c r="K13" s="488" t="str">
        <f>IF($F14="","",VLOOKUP($F14,メインシート!$H$13:$R$19,9,0))</f>
        <v/>
      </c>
      <c r="L13" s="489"/>
      <c r="M13" s="490"/>
    </row>
    <row r="14" spans="1:13" ht="24.95" customHeight="1" x14ac:dyDescent="0.15">
      <c r="A14" s="162">
        <f>入力ﾌｫｰﾑ!$A$17</f>
        <v>241002</v>
      </c>
      <c r="C14" s="484"/>
      <c r="D14" s="485"/>
      <c r="E14" s="170" t="s">
        <v>29</v>
      </c>
      <c r="F14" s="407" t="str">
        <f>IF(VLOOKUP($A14,入力ﾌｫｰﾑ!$A$11:$F$27,4,0)="","",VLOOKUP($A14,入力ﾌｫｰﾑ!$A$11:$F$27,4,0))</f>
        <v/>
      </c>
      <c r="G14" s="408"/>
      <c r="H14" s="408"/>
      <c r="I14" s="409"/>
      <c r="J14" s="424"/>
      <c r="K14" s="491"/>
      <c r="L14" s="492"/>
      <c r="M14" s="493"/>
    </row>
    <row r="15" spans="1:13" ht="7.5" customHeight="1" x14ac:dyDescent="0.15">
      <c r="C15" s="198"/>
      <c r="D15" s="193"/>
      <c r="E15" s="193"/>
      <c r="F15" s="193"/>
      <c r="G15" s="193"/>
      <c r="H15" s="193"/>
      <c r="I15" s="193"/>
      <c r="J15" s="193"/>
      <c r="K15" s="193"/>
      <c r="L15" s="193"/>
      <c r="M15" s="199"/>
    </row>
    <row r="16" spans="1:13" ht="20.100000000000001" customHeight="1" x14ac:dyDescent="0.15">
      <c r="C16" s="494" t="s">
        <v>1</v>
      </c>
      <c r="D16" s="497" t="s">
        <v>14</v>
      </c>
      <c r="E16" s="498"/>
      <c r="F16" s="498"/>
      <c r="G16" s="498"/>
      <c r="H16" s="499"/>
      <c r="I16" s="500" t="s">
        <v>11</v>
      </c>
      <c r="J16" s="500" t="s">
        <v>35</v>
      </c>
      <c r="K16" s="500" t="s">
        <v>34</v>
      </c>
      <c r="L16" s="508" t="s">
        <v>9</v>
      </c>
      <c r="M16" s="509"/>
    </row>
    <row r="17" spans="3:13" ht="20.100000000000001" customHeight="1" x14ac:dyDescent="0.15">
      <c r="C17" s="495"/>
      <c r="D17" s="513" t="s">
        <v>24</v>
      </c>
      <c r="E17" s="514"/>
      <c r="F17" s="514"/>
      <c r="G17" s="514"/>
      <c r="H17" s="515"/>
      <c r="I17" s="501"/>
      <c r="J17" s="501"/>
      <c r="K17" s="501"/>
      <c r="L17" s="510"/>
      <c r="M17" s="511"/>
    </row>
    <row r="18" spans="3:13" ht="20.100000000000001" customHeight="1" x14ac:dyDescent="0.15">
      <c r="C18" s="496"/>
      <c r="D18" s="516" t="s">
        <v>37</v>
      </c>
      <c r="E18" s="517"/>
      <c r="F18" s="517"/>
      <c r="G18" s="518" t="s">
        <v>38</v>
      </c>
      <c r="H18" s="519"/>
      <c r="I18" s="502"/>
      <c r="J18" s="502"/>
      <c r="K18" s="502"/>
      <c r="L18" s="512"/>
      <c r="M18" s="511"/>
    </row>
    <row r="19" spans="3:13" ht="20.100000000000001" customHeight="1" x14ac:dyDescent="0.15">
      <c r="C19" s="494" t="s">
        <v>5</v>
      </c>
      <c r="D19" s="522" t="str">
        <f>IF(VLOOKUP($C19,入力ﾌｫｰﾑ!$V$13:$AF$17,6,0)="","",VLOOKUP($C19,入力ﾌｫｰﾑ!$V$13:$AF$17,6,0))</f>
        <v/>
      </c>
      <c r="E19" s="523"/>
      <c r="F19" s="524"/>
      <c r="G19" s="525" t="str">
        <f>IF(VLOOKUP($C19,入力ﾌｫｰﾑ!$V$13:$AF$17,7,0)="","",VLOOKUP($C19,入力ﾌｫｰﾑ!$V$13:$AF$17,7,0))</f>
        <v/>
      </c>
      <c r="H19" s="526"/>
      <c r="I19" s="521" t="str">
        <f>IF(VLOOKUP($C19,入力ﾌｫｰﾑ!$V$13:$AF$17,8,0)="","",VLOOKUP($C19,入力ﾌｫｰﾑ!$V$13:$AF$17,8,0))</f>
        <v/>
      </c>
      <c r="J19" s="521" t="str">
        <f>IF(VLOOKUP($C19,入力ﾌｫｰﾑ!$V$13:$AF$17,9,0)="","",VLOOKUP($C19,入力ﾌｫｰﾑ!$V$13:$AF$17,9,0))</f>
        <v/>
      </c>
      <c r="K19" s="369" t="str">
        <f>IF(VLOOKUP($C19,入力ﾌｫｰﾑ!$V$13:$AF$17,10,0)="","",VLOOKUP($C19,入力ﾌｫｰﾑ!$V$13:$AF$17,10,0))</f>
        <v/>
      </c>
      <c r="L19" s="520" t="str">
        <f>IF(VLOOKUP($C19,入力ﾌｫｰﾑ!$V$13:$AF$17,11,0)="","",VLOOKUP($C19,入力ﾌｫｰﾑ!$V$13:$AF$17,11,0))</f>
        <v/>
      </c>
      <c r="M19" s="520"/>
    </row>
    <row r="20" spans="3:13" ht="35.1" customHeight="1" x14ac:dyDescent="0.15">
      <c r="C20" s="496"/>
      <c r="D20" s="503" t="str">
        <f>IF(VLOOKUP($C19,入力ﾌｫｰﾑ!$V$13:$AF$17,4,0)="","",VLOOKUP($C19,入力ﾌｫｰﾑ!$V$13:$AF$17,4,0))</f>
        <v/>
      </c>
      <c r="E20" s="504"/>
      <c r="F20" s="505"/>
      <c r="G20" s="506" t="str">
        <f>IF(VLOOKUP($C19,入力ﾌｫｰﾑ!$V$13:$AF$17,5,0)="","",VLOOKUP($C19,入力ﾌｫｰﾑ!$V$13:$AF$17,5,0))</f>
        <v/>
      </c>
      <c r="H20" s="507"/>
      <c r="I20" s="521"/>
      <c r="J20" s="521"/>
      <c r="K20" s="370"/>
      <c r="L20" s="520"/>
      <c r="M20" s="520"/>
    </row>
    <row r="21" spans="3:13" ht="20.100000000000001" customHeight="1" x14ac:dyDescent="0.15">
      <c r="C21" s="494" t="s">
        <v>4</v>
      </c>
      <c r="D21" s="522" t="str">
        <f>IF(VLOOKUP($C21,入力ﾌｫｰﾑ!$V$13:$AF$17,6,0)="","",VLOOKUP($C21,入力ﾌｫｰﾑ!$V$13:$AF$17,6,0))</f>
        <v/>
      </c>
      <c r="E21" s="523"/>
      <c r="F21" s="524"/>
      <c r="G21" s="525" t="str">
        <f>IF(VLOOKUP($C21,入力ﾌｫｰﾑ!$V$13:$AF$17,7,0)="","",VLOOKUP($C21,入力ﾌｫｰﾑ!$V$13:$AF$17,7,0))</f>
        <v/>
      </c>
      <c r="H21" s="526"/>
      <c r="I21" s="521" t="str">
        <f>IF(VLOOKUP($C21,入力ﾌｫｰﾑ!$V$13:$AF$17,8,0)="","",VLOOKUP($C21,入力ﾌｫｰﾑ!$V$13:$AF$17,8,0))</f>
        <v/>
      </c>
      <c r="J21" s="521" t="str">
        <f>IF(VLOOKUP($C21,入力ﾌｫｰﾑ!$V$13:$AF$17,9,0)="","",VLOOKUP($C21,入力ﾌｫｰﾑ!$V$13:$AF$17,9,0))</f>
        <v/>
      </c>
      <c r="K21" s="369" t="str">
        <f>IF(VLOOKUP($C21,入力ﾌｫｰﾑ!$V$13:$AF$17,10,0)="","",VLOOKUP($C21,入力ﾌｫｰﾑ!$V$13:$AF$17,10,0))</f>
        <v/>
      </c>
      <c r="L21" s="520" t="str">
        <f>IF(VLOOKUP($C21,入力ﾌｫｰﾑ!$V$13:$AF$17,11,0)="","",VLOOKUP($C21,入力ﾌｫｰﾑ!$V$13:$AF$17,11,0))</f>
        <v/>
      </c>
      <c r="M21" s="520"/>
    </row>
    <row r="22" spans="3:13" ht="35.1" customHeight="1" x14ac:dyDescent="0.15">
      <c r="C22" s="496"/>
      <c r="D22" s="503" t="str">
        <f>IF(VLOOKUP($C21,入力ﾌｫｰﾑ!$V$13:$AF$17,4,0)="","",VLOOKUP($C21,入力ﾌｫｰﾑ!$V$13:$AF$17,4,0))</f>
        <v/>
      </c>
      <c r="E22" s="504"/>
      <c r="F22" s="505"/>
      <c r="G22" s="506" t="str">
        <f>IF(VLOOKUP($C21,入力ﾌｫｰﾑ!$V$13:$AF$17,5,0)="","",VLOOKUP($C21,入力ﾌｫｰﾑ!$V$13:$AF$17,5,0))</f>
        <v/>
      </c>
      <c r="H22" s="507"/>
      <c r="I22" s="521"/>
      <c r="J22" s="521"/>
      <c r="K22" s="370"/>
      <c r="L22" s="520"/>
      <c r="M22" s="520"/>
    </row>
    <row r="23" spans="3:13" ht="20.100000000000001" customHeight="1" x14ac:dyDescent="0.15">
      <c r="C23" s="494" t="s">
        <v>2</v>
      </c>
      <c r="D23" s="522" t="str">
        <f>IF(VLOOKUP($C23,入力ﾌｫｰﾑ!$V$13:$AF$17,6,0)="","",VLOOKUP($C23,入力ﾌｫｰﾑ!$V$13:$AF$17,6,0))</f>
        <v/>
      </c>
      <c r="E23" s="523"/>
      <c r="F23" s="524"/>
      <c r="G23" s="525" t="str">
        <f>IF(VLOOKUP($C23,入力ﾌｫｰﾑ!$V$13:$AF$17,7,0)="","",VLOOKUP($C23,入力ﾌｫｰﾑ!$V$13:$AF$17,7,0))</f>
        <v/>
      </c>
      <c r="H23" s="526"/>
      <c r="I23" s="521" t="str">
        <f>IF(VLOOKUP($C23,入力ﾌｫｰﾑ!$V$13:$AF$17,8,0)="","",VLOOKUP($C23,入力ﾌｫｰﾑ!$V$13:$AF$17,8,0))</f>
        <v/>
      </c>
      <c r="J23" s="521" t="str">
        <f>IF(VLOOKUP($C23,入力ﾌｫｰﾑ!$V$13:$AF$17,9,0)="","",VLOOKUP($C23,入力ﾌｫｰﾑ!$V$13:$AF$17,9,0))</f>
        <v/>
      </c>
      <c r="K23" s="369" t="str">
        <f>IF(VLOOKUP($C23,入力ﾌｫｰﾑ!$V$13:$AF$17,10,0)="","",VLOOKUP($C23,入力ﾌｫｰﾑ!$V$13:$AF$17,10,0))</f>
        <v/>
      </c>
      <c r="L23" s="520" t="str">
        <f>IF(VLOOKUP($C23,入力ﾌｫｰﾑ!$V$13:$AF$17,11,0)="","",VLOOKUP($C23,入力ﾌｫｰﾑ!$V$13:$AF$17,11,0))</f>
        <v/>
      </c>
      <c r="M23" s="520"/>
    </row>
    <row r="24" spans="3:13" ht="35.1" customHeight="1" x14ac:dyDescent="0.15">
      <c r="C24" s="496"/>
      <c r="D24" s="503" t="str">
        <f>IF(VLOOKUP($C23,入力ﾌｫｰﾑ!$V$13:$AF$17,4,0)="","",VLOOKUP($C23,入力ﾌｫｰﾑ!$V$13:$AF$17,4,0))</f>
        <v/>
      </c>
      <c r="E24" s="504"/>
      <c r="F24" s="505"/>
      <c r="G24" s="506" t="str">
        <f>IF(VLOOKUP($C23,入力ﾌｫｰﾑ!$V$13:$AF$17,5,0)="","",VLOOKUP($C23,入力ﾌｫｰﾑ!$V$13:$AF$17,5,0))</f>
        <v/>
      </c>
      <c r="H24" s="507"/>
      <c r="I24" s="521"/>
      <c r="J24" s="521"/>
      <c r="K24" s="370"/>
      <c r="L24" s="520"/>
      <c r="M24" s="520"/>
    </row>
    <row r="25" spans="3:13" ht="20.100000000000001" customHeight="1" x14ac:dyDescent="0.15">
      <c r="C25" s="494" t="s">
        <v>6</v>
      </c>
      <c r="D25" s="522" t="str">
        <f>IF(VLOOKUP($C25,入力ﾌｫｰﾑ!$V$13:$AF$17,6,0)="","",VLOOKUP($C25,入力ﾌｫｰﾑ!$V$13:$AF$17,6,0))</f>
        <v/>
      </c>
      <c r="E25" s="523"/>
      <c r="F25" s="524"/>
      <c r="G25" s="525" t="str">
        <f>IF(VLOOKUP($C25,入力ﾌｫｰﾑ!$V$13:$AF$17,7,0)="","",VLOOKUP($C25,入力ﾌｫｰﾑ!$V$13:$AF$17,7,0))</f>
        <v/>
      </c>
      <c r="H25" s="526"/>
      <c r="I25" s="521" t="str">
        <f>IF(VLOOKUP($C25,入力ﾌｫｰﾑ!$V$13:$AF$17,8,0)="","",VLOOKUP($C25,入力ﾌｫｰﾑ!$V$13:$AF$17,8,0))</f>
        <v/>
      </c>
      <c r="J25" s="521" t="str">
        <f>IF(VLOOKUP($C25,入力ﾌｫｰﾑ!$V$13:$AF$17,9,0)="","",VLOOKUP($C25,入力ﾌｫｰﾑ!$V$13:$AF$17,9,0))</f>
        <v/>
      </c>
      <c r="K25" s="369" t="str">
        <f>IF(VLOOKUP($C25,入力ﾌｫｰﾑ!$V$13:$AF$17,10,0)="","",VLOOKUP($C25,入力ﾌｫｰﾑ!$V$13:$AF$17,10,0))</f>
        <v/>
      </c>
      <c r="L25" s="520" t="str">
        <f>IF(VLOOKUP($C25,入力ﾌｫｰﾑ!$V$13:$AF$17,11,0)="","",VLOOKUP($C25,入力ﾌｫｰﾑ!$V$13:$AF$17,11,0))</f>
        <v/>
      </c>
      <c r="M25" s="520"/>
    </row>
    <row r="26" spans="3:13" ht="35.1" customHeight="1" x14ac:dyDescent="0.15">
      <c r="C26" s="496"/>
      <c r="D26" s="503" t="str">
        <f>IF(VLOOKUP($C25,入力ﾌｫｰﾑ!$V$13:$AF$17,4,0)="","",VLOOKUP($C25,入力ﾌｫｰﾑ!$V$13:$AF$17,4,0))</f>
        <v/>
      </c>
      <c r="E26" s="504"/>
      <c r="F26" s="505"/>
      <c r="G26" s="506" t="str">
        <f>IF(VLOOKUP($C25,入力ﾌｫｰﾑ!$V$13:$AF$17,5,0)="","",VLOOKUP($C25,入力ﾌｫｰﾑ!$V$13:$AF$17,5,0))</f>
        <v/>
      </c>
      <c r="H26" s="507"/>
      <c r="I26" s="521"/>
      <c r="J26" s="521"/>
      <c r="K26" s="370"/>
      <c r="L26" s="520"/>
      <c r="M26" s="520"/>
    </row>
    <row r="27" spans="3:13" ht="20.100000000000001" customHeight="1" x14ac:dyDescent="0.15">
      <c r="C27" s="494" t="s">
        <v>7</v>
      </c>
      <c r="D27" s="522" t="str">
        <f>IF(VLOOKUP($C27,入力ﾌｫｰﾑ!$V$13:$AF$17,6,0)="","",VLOOKUP($C27,入力ﾌｫｰﾑ!$V$13:$AF$17,6,0))</f>
        <v/>
      </c>
      <c r="E27" s="523"/>
      <c r="F27" s="524"/>
      <c r="G27" s="525" t="str">
        <f>IF(VLOOKUP($C27,入力ﾌｫｰﾑ!$V$13:$AF$17,7,0)="","",VLOOKUP($C27,入力ﾌｫｰﾑ!$V$13:$AF$17,7,0))</f>
        <v/>
      </c>
      <c r="H27" s="526"/>
      <c r="I27" s="521" t="str">
        <f>IF(VLOOKUP($C27,入力ﾌｫｰﾑ!$V$13:$AF$17,8,0)="","",VLOOKUP($C27,入力ﾌｫｰﾑ!$V$13:$AF$17,8,0))</f>
        <v/>
      </c>
      <c r="J27" s="521" t="str">
        <f>IF(VLOOKUP($C27,入力ﾌｫｰﾑ!$V$13:$AF$17,9,0)="","",VLOOKUP($C27,入力ﾌｫｰﾑ!$V$13:$AF$17,9,0))</f>
        <v/>
      </c>
      <c r="K27" s="369" t="str">
        <f>IF(VLOOKUP($C27,入力ﾌｫｰﾑ!$V$13:$AF$17,10,0)="","",VLOOKUP($C27,入力ﾌｫｰﾑ!$V$13:$AF$17,10,0))</f>
        <v/>
      </c>
      <c r="L27" s="520" t="str">
        <f>IF(VLOOKUP($C27,入力ﾌｫｰﾑ!$V$13:$AF$17,11,0)="","",VLOOKUP($C27,入力ﾌｫｰﾑ!$V$13:$AF$17,11,0))</f>
        <v/>
      </c>
      <c r="M27" s="520"/>
    </row>
    <row r="28" spans="3:13" ht="35.1" customHeight="1" x14ac:dyDescent="0.15">
      <c r="C28" s="496"/>
      <c r="D28" s="503" t="str">
        <f>IF(VLOOKUP($C27,入力ﾌｫｰﾑ!$V$13:$AF$17,4,0)="","",VLOOKUP($C27,入力ﾌｫｰﾑ!$V$13:$AF$17,4,0))</f>
        <v/>
      </c>
      <c r="E28" s="504"/>
      <c r="F28" s="505"/>
      <c r="G28" s="506" t="str">
        <f>IF(VLOOKUP($C27,入力ﾌｫｰﾑ!$V$13:$AF$17,5,0)="","",VLOOKUP($C27,入力ﾌｫｰﾑ!$V$13:$AF$17,5,0))</f>
        <v/>
      </c>
      <c r="H28" s="507"/>
      <c r="I28" s="521"/>
      <c r="J28" s="521"/>
      <c r="K28" s="370"/>
      <c r="L28" s="520"/>
      <c r="M28" s="520"/>
    </row>
    <row r="29" spans="3:13" ht="6.75" customHeight="1" x14ac:dyDescent="0.15">
      <c r="C29" s="200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3:13" ht="6.75" customHeight="1" x14ac:dyDescent="0.15">
      <c r="C30" s="200"/>
      <c r="D30" s="194"/>
      <c r="E30" s="194"/>
      <c r="F30" s="194"/>
      <c r="G30" s="194"/>
      <c r="H30" s="201"/>
      <c r="I30" s="201"/>
      <c r="J30" s="201"/>
      <c r="K30" s="202"/>
      <c r="L30" s="202"/>
      <c r="M30" s="202"/>
    </row>
    <row r="31" spans="3:13" ht="24" customHeight="1" x14ac:dyDescent="0.15">
      <c r="C31" s="462" t="str">
        <f>IF(入力ﾌｫｰﾑ!$F$3="","（　　　）　大会出場者（引率・監督・コーチ・選手）の宿泊申込については，指定業者を通して申し込みます。","（　○　）　大会出場者（引率・監督・コーチ・選手）の宿泊申込については，指定業者を通して申し込みます。")</f>
        <v>（　　　）　大会出場者（引率・監督・コーチ・選手）の宿泊申込については，指定業者を通して申し込みます。</v>
      </c>
      <c r="D31" s="463"/>
      <c r="E31" s="463"/>
      <c r="F31" s="463"/>
      <c r="G31" s="463"/>
      <c r="H31" s="463"/>
      <c r="I31" s="463"/>
      <c r="J31" s="463"/>
      <c r="K31" s="463"/>
      <c r="L31" s="463"/>
      <c r="M31" s="463"/>
    </row>
    <row r="32" spans="3:13" ht="24" customHeight="1" x14ac:dyDescent="0.15">
      <c r="C32" s="462" t="str">
        <f>IF(入力ﾌｫｰﾑ!$F$3="","（　○　）　今回は宿泊を行わずに大会に参加します。","（　　　）　今回は宿泊を行わずに大会に参加します。")</f>
        <v>（　○　）　今回は宿泊を行わずに大会に参加します。</v>
      </c>
      <c r="D32" s="463"/>
      <c r="E32" s="463"/>
      <c r="F32" s="463"/>
      <c r="G32" s="463"/>
      <c r="H32" s="463"/>
      <c r="I32" s="463"/>
      <c r="J32" s="463"/>
      <c r="K32" s="463"/>
      <c r="L32" s="463"/>
      <c r="M32" s="463"/>
    </row>
    <row r="33" spans="1:13" ht="24" customHeight="1" x14ac:dyDescent="0.15">
      <c r="C33" s="464" t="s">
        <v>2658</v>
      </c>
      <c r="D33" s="465"/>
      <c r="E33" s="465"/>
      <c r="F33" s="465"/>
      <c r="G33" s="465"/>
      <c r="H33" s="465"/>
      <c r="I33" s="465"/>
      <c r="J33" s="465"/>
      <c r="K33" s="465"/>
      <c r="L33" s="465"/>
      <c r="M33" s="465"/>
    </row>
    <row r="34" spans="1:13" s="203" customFormat="1" x14ac:dyDescent="0.15">
      <c r="A34" s="162"/>
      <c r="C34" s="204"/>
      <c r="D34" s="204"/>
      <c r="E34" s="204"/>
      <c r="F34" s="204"/>
      <c r="G34" s="204"/>
      <c r="H34" s="204"/>
      <c r="I34" s="204"/>
    </row>
    <row r="35" spans="1:13" s="203" customFormat="1" x14ac:dyDescent="0.15">
      <c r="A35" s="162"/>
      <c r="B35" s="162"/>
      <c r="C35" s="204"/>
      <c r="D35" s="204"/>
      <c r="E35" s="204"/>
      <c r="F35" s="204"/>
      <c r="G35" s="204"/>
      <c r="H35" s="204"/>
    </row>
    <row r="36" spans="1:13" s="203" customFormat="1" x14ac:dyDescent="0.15">
      <c r="A36" s="162"/>
      <c r="B36" s="162"/>
      <c r="C36" s="204"/>
      <c r="D36" s="204"/>
      <c r="E36" s="204"/>
      <c r="F36" s="204"/>
      <c r="G36" s="204"/>
      <c r="H36" s="204"/>
    </row>
    <row r="37" spans="1:13" s="203" customFormat="1" x14ac:dyDescent="0.15">
      <c r="A37" s="162"/>
      <c r="B37" s="162"/>
      <c r="C37" s="204"/>
      <c r="D37" s="204"/>
      <c r="E37" s="204"/>
      <c r="F37" s="204"/>
      <c r="G37" s="204"/>
      <c r="H37" s="204"/>
    </row>
    <row r="38" spans="1:13" s="203" customFormat="1" x14ac:dyDescent="0.15">
      <c r="A38" s="162"/>
      <c r="B38" s="162"/>
      <c r="C38" s="204"/>
      <c r="D38" s="204"/>
      <c r="E38" s="204"/>
      <c r="F38" s="204"/>
      <c r="G38" s="204"/>
      <c r="H38" s="204"/>
    </row>
    <row r="39" spans="1:13" s="203" customFormat="1" x14ac:dyDescent="0.15">
      <c r="A39" s="162"/>
      <c r="B39" s="162"/>
      <c r="C39" s="204"/>
      <c r="D39" s="204"/>
      <c r="E39" s="204"/>
      <c r="F39" s="204"/>
      <c r="G39" s="204"/>
      <c r="H39" s="204"/>
    </row>
    <row r="40" spans="1:13" s="203" customFormat="1" x14ac:dyDescent="0.15">
      <c r="A40" s="162"/>
      <c r="B40" s="162"/>
      <c r="C40" s="204"/>
      <c r="D40" s="204"/>
      <c r="E40" s="204"/>
      <c r="F40" s="204"/>
      <c r="G40" s="204"/>
      <c r="H40" s="204"/>
    </row>
    <row r="41" spans="1:13" s="203" customFormat="1" x14ac:dyDescent="0.15">
      <c r="A41" s="162"/>
      <c r="B41" s="162"/>
      <c r="C41" s="204"/>
      <c r="D41" s="204"/>
      <c r="E41" s="204"/>
      <c r="F41" s="204"/>
      <c r="G41" s="204"/>
      <c r="H41" s="204"/>
    </row>
    <row r="42" spans="1:13" s="203" customFormat="1" x14ac:dyDescent="0.15">
      <c r="A42" s="162"/>
      <c r="B42" s="162"/>
    </row>
    <row r="43" spans="1:13" s="203" customFormat="1" x14ac:dyDescent="0.15">
      <c r="A43" s="162"/>
      <c r="B43" s="162"/>
    </row>
    <row r="49" spans="7:7" x14ac:dyDescent="0.15">
      <c r="G49" s="196"/>
    </row>
    <row r="50" spans="7:7" x14ac:dyDescent="0.15">
      <c r="G50" s="196"/>
    </row>
    <row r="51" spans="7:7" x14ac:dyDescent="0.15">
      <c r="G51" s="196"/>
    </row>
    <row r="52" spans="7:7" x14ac:dyDescent="0.15">
      <c r="G52" s="196"/>
    </row>
    <row r="53" spans="7:7" x14ac:dyDescent="0.15">
      <c r="G53" s="196"/>
    </row>
    <row r="54" spans="7:7" x14ac:dyDescent="0.15">
      <c r="G54" s="196"/>
    </row>
    <row r="55" spans="7:7" x14ac:dyDescent="0.15">
      <c r="G55" s="196"/>
    </row>
    <row r="56" spans="7:7" x14ac:dyDescent="0.15">
      <c r="G56" s="196"/>
    </row>
    <row r="57" spans="7:7" x14ac:dyDescent="0.15">
      <c r="G57" s="196"/>
    </row>
    <row r="58" spans="7:7" x14ac:dyDescent="0.15">
      <c r="G58" s="196"/>
    </row>
    <row r="59" spans="7:7" x14ac:dyDescent="0.15">
      <c r="G59" s="196"/>
    </row>
  </sheetData>
  <sheetProtection sheet="1" objects="1" scenarios="1"/>
  <mergeCells count="87">
    <mergeCell ref="I23:I24"/>
    <mergeCell ref="C27:C28"/>
    <mergeCell ref="D27:F27"/>
    <mergeCell ref="G27:H27"/>
    <mergeCell ref="D24:F24"/>
    <mergeCell ref="G24:H24"/>
    <mergeCell ref="D28:F28"/>
    <mergeCell ref="G28:H28"/>
    <mergeCell ref="K27:K28"/>
    <mergeCell ref="K25:K26"/>
    <mergeCell ref="L27:M28"/>
    <mergeCell ref="I25:I26"/>
    <mergeCell ref="I27:I28"/>
    <mergeCell ref="J27:J28"/>
    <mergeCell ref="K23:K24"/>
    <mergeCell ref="L25:M26"/>
    <mergeCell ref="L23:M24"/>
    <mergeCell ref="J23:J24"/>
    <mergeCell ref="J25:J26"/>
    <mergeCell ref="C19:C20"/>
    <mergeCell ref="D19:F19"/>
    <mergeCell ref="G19:H19"/>
    <mergeCell ref="G26:H26"/>
    <mergeCell ref="C23:C24"/>
    <mergeCell ref="D23:F23"/>
    <mergeCell ref="G23:H23"/>
    <mergeCell ref="D22:F22"/>
    <mergeCell ref="G22:H22"/>
    <mergeCell ref="C21:C22"/>
    <mergeCell ref="D21:F21"/>
    <mergeCell ref="C25:C26"/>
    <mergeCell ref="D25:F25"/>
    <mergeCell ref="G25:H25"/>
    <mergeCell ref="D26:F26"/>
    <mergeCell ref="G21:H21"/>
    <mergeCell ref="L21:M22"/>
    <mergeCell ref="L19:M20"/>
    <mergeCell ref="J19:J20"/>
    <mergeCell ref="I19:I20"/>
    <mergeCell ref="I21:I22"/>
    <mergeCell ref="J21:J22"/>
    <mergeCell ref="K21:K22"/>
    <mergeCell ref="K19:K20"/>
    <mergeCell ref="D20:F20"/>
    <mergeCell ref="G20:H20"/>
    <mergeCell ref="L16:M18"/>
    <mergeCell ref="D17:H17"/>
    <mergeCell ref="D18:F18"/>
    <mergeCell ref="G18:H18"/>
    <mergeCell ref="C16:C18"/>
    <mergeCell ref="D16:H16"/>
    <mergeCell ref="I16:I18"/>
    <mergeCell ref="J16:J18"/>
    <mergeCell ref="K16:K18"/>
    <mergeCell ref="K10:M11"/>
    <mergeCell ref="F12:H12"/>
    <mergeCell ref="J12:M12"/>
    <mergeCell ref="F11:I11"/>
    <mergeCell ref="F13:I13"/>
    <mergeCell ref="K13:M14"/>
    <mergeCell ref="C13:D14"/>
    <mergeCell ref="J13:J14"/>
    <mergeCell ref="F10:I10"/>
    <mergeCell ref="C10:D12"/>
    <mergeCell ref="J10:J11"/>
    <mergeCell ref="F14:I14"/>
    <mergeCell ref="K7:M7"/>
    <mergeCell ref="C8:D9"/>
    <mergeCell ref="H8:M8"/>
    <mergeCell ref="F9:H9"/>
    <mergeCell ref="J9:M9"/>
    <mergeCell ref="C32:M32"/>
    <mergeCell ref="C33:M33"/>
    <mergeCell ref="C31:M31"/>
    <mergeCell ref="C1:M1"/>
    <mergeCell ref="C2:M2"/>
    <mergeCell ref="C4:D4"/>
    <mergeCell ref="H4:I4"/>
    <mergeCell ref="L4:M4"/>
    <mergeCell ref="E4:F4"/>
    <mergeCell ref="J4:K4"/>
    <mergeCell ref="C5:D5"/>
    <mergeCell ref="C6:D6"/>
    <mergeCell ref="E5:M5"/>
    <mergeCell ref="E6:M6"/>
    <mergeCell ref="C7:D7"/>
    <mergeCell ref="E7:J7"/>
  </mergeCells>
  <phoneticPr fontId="2"/>
  <dataValidations count="4">
    <dataValidation allowBlank="1" errorTitle="エラー！" error="「キャンセル」を押して、↓ボタンをクリックして一覧から選択して下さい_x000a_" promptTitle="「↓」を押して" prompt="リストから選んで下さい！" sqref="G4"/>
    <dataValidation imeMode="on" allowBlank="1" errorTitle="エラー！" error="「キャンセル」を押して、↓ボタンをクリックして一覧から選択して下さい_x000a_" promptTitle="「↓」を押して" prompt="リストから選んで下さい！" sqref="F10:F11 E7:J7 H8:M8 F13:F14 K6 E5:E6"/>
    <dataValidation imeMode="on" allowBlank="1" showInputMessage="1" showErrorMessage="1" sqref="K10:M11 G19:G28 D19:D28"/>
    <dataValidation imeMode="off" allowBlank="1" showInputMessage="1" showErrorMessage="1" sqref="F8:F9 F12 J9:M9 J12 K19 K21 K23 K25 K27"/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9" orientation="portrait" errors="blank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4"/>
  <sheetViews>
    <sheetView zoomScaleNormal="100" workbookViewId="0">
      <selection activeCell="C38" sqref="C38:N38"/>
    </sheetView>
  </sheetViews>
  <sheetFormatPr defaultRowHeight="13.5" x14ac:dyDescent="0.15"/>
  <cols>
    <col min="1" max="1" width="11" style="162" customWidth="1"/>
    <col min="2" max="3" width="10" style="162" customWidth="1"/>
    <col min="4" max="4" width="3.75" style="179" customWidth="1"/>
    <col min="5" max="5" width="5" style="179" customWidth="1"/>
    <col min="6" max="6" width="12.75" style="179" customWidth="1"/>
    <col min="7" max="7" width="6.875" style="179" customWidth="1"/>
    <col min="8" max="8" width="15.625" style="179" customWidth="1"/>
    <col min="9" max="9" width="5.75" style="179" customWidth="1"/>
    <col min="10" max="11" width="7.875" style="179" customWidth="1"/>
    <col min="12" max="12" width="10.625" style="179" customWidth="1"/>
    <col min="13" max="13" width="4.375" style="179" customWidth="1"/>
    <col min="14" max="14" width="4" style="179" customWidth="1"/>
    <col min="15" max="16384" width="9" style="179"/>
  </cols>
  <sheetData>
    <row r="1" spans="1:14" ht="30" customHeight="1" thickBot="1" x14ac:dyDescent="0.2">
      <c r="A1" s="161" t="s">
        <v>887</v>
      </c>
      <c r="C1" s="466" t="str">
        <f>男子団体!$C$1</f>
        <v>平成２８年度東北中学校体育大会　第３９回東北中学校柔道大会</v>
      </c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</row>
    <row r="2" spans="1:14" ht="30" customHeight="1" thickBot="1" x14ac:dyDescent="0.2">
      <c r="A2" s="163">
        <f>メインシート!C6</f>
        <v>0</v>
      </c>
      <c r="C2" s="197"/>
      <c r="D2" s="586" t="s">
        <v>1133</v>
      </c>
      <c r="E2" s="586"/>
      <c r="F2" s="586"/>
      <c r="G2" s="586"/>
      <c r="H2" s="586"/>
      <c r="I2" s="586"/>
      <c r="J2" s="586"/>
      <c r="K2" s="586"/>
      <c r="L2" s="586"/>
      <c r="M2" s="197"/>
      <c r="N2" s="197"/>
    </row>
    <row r="3" spans="1:14" ht="14.25" thickBot="1" x14ac:dyDescent="0.2"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30" customHeight="1" thickBot="1" x14ac:dyDescent="0.2">
      <c r="A4" s="163">
        <f>メインシート!$C$8</f>
        <v>4</v>
      </c>
      <c r="C4" s="469" t="s">
        <v>15</v>
      </c>
      <c r="D4" s="469"/>
      <c r="E4" s="549" t="str">
        <f>VLOOKUP($A$4,メインシート!$B$13:$D$18,2,0)</f>
        <v>山形</v>
      </c>
      <c r="F4" s="550"/>
      <c r="G4" s="183" t="s">
        <v>16</v>
      </c>
      <c r="H4" s="534"/>
      <c r="I4" s="535"/>
      <c r="J4" s="536"/>
      <c r="K4" s="536"/>
      <c r="L4" s="536"/>
      <c r="M4" s="536"/>
      <c r="N4" s="536"/>
    </row>
    <row r="5" spans="1:14" ht="15.75" customHeight="1" x14ac:dyDescent="0.15">
      <c r="C5" s="582" t="s">
        <v>1135</v>
      </c>
      <c r="D5" s="583"/>
      <c r="E5" s="537" t="e">
        <f>VLOOKUP($A$2,学校ﾏｽﾀｰ!$C$4:$AC$363,25,0)</f>
        <v>#N/A</v>
      </c>
      <c r="F5" s="538"/>
      <c r="G5" s="538"/>
      <c r="H5" s="538"/>
      <c r="I5" s="538"/>
      <c r="J5" s="538"/>
      <c r="K5" s="538"/>
      <c r="L5" s="538"/>
      <c r="M5" s="538"/>
      <c r="N5" s="539"/>
    </row>
    <row r="6" spans="1:14" ht="30" customHeight="1" x14ac:dyDescent="0.15">
      <c r="C6" s="480" t="s">
        <v>0</v>
      </c>
      <c r="D6" s="481"/>
      <c r="E6" s="546" t="e">
        <f>VLOOKUP($A$2,学校ﾏｽﾀｰ!$C$4:$AC$363,3,0)</f>
        <v>#N/A</v>
      </c>
      <c r="F6" s="547"/>
      <c r="G6" s="547"/>
      <c r="H6" s="547"/>
      <c r="I6" s="547"/>
      <c r="J6" s="547"/>
      <c r="K6" s="547"/>
      <c r="L6" s="547"/>
      <c r="M6" s="547"/>
      <c r="N6" s="548"/>
    </row>
    <row r="7" spans="1:14" ht="36.75" customHeight="1" x14ac:dyDescent="0.15">
      <c r="C7" s="480" t="s">
        <v>39</v>
      </c>
      <c r="D7" s="481"/>
      <c r="E7" s="540" t="str">
        <f>IF(メインシート!$H$7="","",メインシート!$H$7)</f>
        <v/>
      </c>
      <c r="F7" s="541"/>
      <c r="G7" s="541"/>
      <c r="H7" s="541"/>
      <c r="I7" s="541"/>
      <c r="J7" s="541"/>
      <c r="K7" s="541"/>
      <c r="L7" s="184" t="s">
        <v>40</v>
      </c>
      <c r="M7" s="185"/>
      <c r="N7" s="186"/>
    </row>
    <row r="8" spans="1:14" ht="30" customHeight="1" x14ac:dyDescent="0.15">
      <c r="C8" s="482" t="s">
        <v>25</v>
      </c>
      <c r="D8" s="483"/>
      <c r="E8" s="187" t="s">
        <v>43</v>
      </c>
      <c r="F8" s="188" t="e">
        <f>VLOOKUP($A$2,学校ﾏｽﾀｰ!$C$4:$AC$363,19,0)</f>
        <v>#N/A</v>
      </c>
      <c r="G8" s="189" t="s">
        <v>26</v>
      </c>
      <c r="H8" s="565" t="e">
        <f>VLOOKUP($A$2,学校ﾏｽﾀｰ!$C$4:$AC$363,20,0)</f>
        <v>#N/A</v>
      </c>
      <c r="I8" s="566"/>
      <c r="J8" s="566"/>
      <c r="K8" s="566"/>
      <c r="L8" s="566"/>
      <c r="M8" s="566"/>
      <c r="N8" s="567"/>
    </row>
    <row r="9" spans="1:14" ht="30" customHeight="1" x14ac:dyDescent="0.15">
      <c r="C9" s="484"/>
      <c r="D9" s="485"/>
      <c r="E9" s="187" t="s">
        <v>44</v>
      </c>
      <c r="F9" s="551" t="e">
        <f>VLOOKUP($A$2,学校ﾏｽﾀｰ!$C$4:$AC$363,17,0)</f>
        <v>#N/A</v>
      </c>
      <c r="G9" s="552"/>
      <c r="H9" s="553"/>
      <c r="I9" s="190" t="s">
        <v>45</v>
      </c>
      <c r="J9" s="551" t="e">
        <f>VLOOKUP($A$2,学校ﾏｽﾀｰ!$C$4:$AC$363,18,0)</f>
        <v>#N/A</v>
      </c>
      <c r="K9" s="552"/>
      <c r="L9" s="552"/>
      <c r="M9" s="552"/>
      <c r="N9" s="553"/>
    </row>
    <row r="10" spans="1:14" ht="18" customHeight="1" x14ac:dyDescent="0.15">
      <c r="C10" s="482" t="s">
        <v>27</v>
      </c>
      <c r="D10" s="483"/>
      <c r="E10" s="191" t="s">
        <v>24</v>
      </c>
      <c r="F10" s="568" t="str">
        <f>IF(F11="","",VLOOKUP(F11,入力ﾌｫｰﾑ!$C$4:$E$7,3,0))</f>
        <v/>
      </c>
      <c r="G10" s="569"/>
      <c r="H10" s="569"/>
      <c r="I10" s="569"/>
      <c r="J10" s="570"/>
      <c r="K10" s="578" t="s">
        <v>28</v>
      </c>
      <c r="L10" s="556" t="str">
        <f>IF(F11="","",VLOOKUP(F11,入力ﾌｫｰﾑ!$C$4:$E$7,2,0))</f>
        <v/>
      </c>
      <c r="M10" s="592"/>
      <c r="N10" s="557"/>
    </row>
    <row r="11" spans="1:14" ht="37.5" customHeight="1" x14ac:dyDescent="0.15">
      <c r="A11" s="162">
        <f>入力ﾌｫｰﾑ!$A$21</f>
        <v>142001</v>
      </c>
      <c r="C11" s="486"/>
      <c r="D11" s="487"/>
      <c r="E11" s="192" t="s">
        <v>29</v>
      </c>
      <c r="F11" s="571" t="str">
        <f>IF(VLOOKUP($A11,入力ﾌｫｰﾑ!$A$11:$F$27,4,0)="","",VLOOKUP($A11,入力ﾌｫｰﾑ!$A$11:$F$27,4,0))</f>
        <v/>
      </c>
      <c r="G11" s="572"/>
      <c r="H11" s="572"/>
      <c r="I11" s="572"/>
      <c r="J11" s="573"/>
      <c r="K11" s="579"/>
      <c r="L11" s="558"/>
      <c r="M11" s="593"/>
      <c r="N11" s="559"/>
    </row>
    <row r="12" spans="1:14" ht="30" customHeight="1" x14ac:dyDescent="0.15">
      <c r="A12" s="162">
        <f>入力ﾌｫｰﾑ!$A$21</f>
        <v>142001</v>
      </c>
      <c r="C12" s="484"/>
      <c r="D12" s="485"/>
      <c r="E12" s="187" t="s">
        <v>44</v>
      </c>
      <c r="F12" s="598" t="str">
        <f>IF(VLOOKUP($A12,入力ﾌｫｰﾑ!$A$11:$F$27,5,0)="","",VLOOKUP($A12,入力ﾌｫｰﾑ!$A$11:$F$27,5,0))</f>
        <v/>
      </c>
      <c r="G12" s="599"/>
      <c r="H12" s="600"/>
      <c r="I12" s="190" t="s">
        <v>30</v>
      </c>
      <c r="J12" s="551" t="str">
        <f>IF(VLOOKUP($A12,入力ﾌｫｰﾑ!$A$11:$F$27,6,0)="","",VLOOKUP($A12,入力ﾌｫｰﾑ!$A$11:$F$27,6,0))</f>
        <v/>
      </c>
      <c r="K12" s="552"/>
      <c r="L12" s="552"/>
      <c r="M12" s="552"/>
      <c r="N12" s="553"/>
    </row>
    <row r="13" spans="1:14" ht="18" customHeight="1" x14ac:dyDescent="0.15">
      <c r="C13" s="482" t="s">
        <v>41</v>
      </c>
      <c r="D13" s="483"/>
      <c r="E13" s="191" t="s">
        <v>24</v>
      </c>
      <c r="F13" s="568" t="str">
        <f>IF(F14="","",VLOOKUP(F14,入力ﾌｫｰﾑ!$C$4:$E$7,3,0))</f>
        <v/>
      </c>
      <c r="G13" s="569"/>
      <c r="H13" s="569"/>
      <c r="I13" s="569"/>
      <c r="J13" s="570"/>
      <c r="K13" s="578" t="s">
        <v>33</v>
      </c>
      <c r="L13" s="488" t="str">
        <f>IF(F14="","",VLOOKUP(F14,メインシート!$H$13:$R$19,9,0))</f>
        <v/>
      </c>
      <c r="M13" s="489"/>
      <c r="N13" s="490"/>
    </row>
    <row r="14" spans="1:14" ht="37.5" customHeight="1" x14ac:dyDescent="0.15">
      <c r="A14" s="162">
        <f>入力ﾌｫｰﾑ!$A$22</f>
        <v>142002</v>
      </c>
      <c r="C14" s="484"/>
      <c r="D14" s="485"/>
      <c r="E14" s="192" t="s">
        <v>29</v>
      </c>
      <c r="F14" s="571" t="str">
        <f>IF(VLOOKUP($A14,入力ﾌｫｰﾑ!$A$11:$F$27,4,0)="","",VLOOKUP($A14,入力ﾌｫｰﾑ!$A$11:$F$27,4,0))</f>
        <v/>
      </c>
      <c r="G14" s="572"/>
      <c r="H14" s="572"/>
      <c r="I14" s="572"/>
      <c r="J14" s="573"/>
      <c r="K14" s="579"/>
      <c r="L14" s="491"/>
      <c r="M14" s="492"/>
      <c r="N14" s="493"/>
    </row>
    <row r="15" spans="1:14" x14ac:dyDescent="0.15"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</row>
    <row r="16" spans="1:14" ht="27" customHeight="1" x14ac:dyDescent="0.15">
      <c r="C16" s="494" t="s">
        <v>13</v>
      </c>
      <c r="D16" s="587" t="s">
        <v>31</v>
      </c>
      <c r="E16" s="588"/>
      <c r="F16" s="596" t="s">
        <v>32</v>
      </c>
      <c r="G16" s="597"/>
      <c r="H16" s="597"/>
      <c r="I16" s="597"/>
      <c r="J16" s="500" t="s">
        <v>11</v>
      </c>
      <c r="K16" s="500" t="s">
        <v>36</v>
      </c>
      <c r="L16" s="500" t="s">
        <v>34</v>
      </c>
      <c r="M16" s="508" t="s">
        <v>12</v>
      </c>
      <c r="N16" s="509"/>
    </row>
    <row r="17" spans="3:14" ht="13.5" customHeight="1" x14ac:dyDescent="0.15">
      <c r="C17" s="495"/>
      <c r="D17" s="589"/>
      <c r="E17" s="590"/>
      <c r="F17" s="513" t="s">
        <v>24</v>
      </c>
      <c r="G17" s="576"/>
      <c r="H17" s="576"/>
      <c r="I17" s="577"/>
      <c r="J17" s="501"/>
      <c r="K17" s="501"/>
      <c r="L17" s="501"/>
      <c r="M17" s="510"/>
      <c r="N17" s="511"/>
    </row>
    <row r="18" spans="3:14" ht="17.25" customHeight="1" x14ac:dyDescent="0.15">
      <c r="C18" s="496"/>
      <c r="D18" s="591"/>
      <c r="E18" s="517"/>
      <c r="F18" s="574" t="s">
        <v>37</v>
      </c>
      <c r="G18" s="575"/>
      <c r="H18" s="580" t="s">
        <v>38</v>
      </c>
      <c r="I18" s="581"/>
      <c r="J18" s="502"/>
      <c r="K18" s="502"/>
      <c r="L18" s="502"/>
      <c r="M18" s="594"/>
      <c r="N18" s="595"/>
    </row>
    <row r="19" spans="3:14" ht="20.100000000000001" customHeight="1" x14ac:dyDescent="0.15">
      <c r="C19" s="584" t="str">
        <f>IF(入力ﾌｫｰﾑ!$V20="","",IF(VALUE(LEFT(入力ﾌｫｰﾑ!$V20,2))=91,"90㎏超級",CONCATENATE(LEFT(入力ﾌｫｰﾑ!$V20,2),"㎏級")))</f>
        <v/>
      </c>
      <c r="D19" s="556" t="str">
        <f>IF(入力ﾌｫｰﾑ!$V20="","",RIGHT(入力ﾌｫｰﾑ!$V20,1))</f>
        <v/>
      </c>
      <c r="E19" s="557"/>
      <c r="F19" s="563" t="str">
        <f>IF(入力ﾌｫｰﾑ!$V20="","",VLOOKUP(入力ﾌｫｰﾑ!$V20,入力ﾌｫｰﾑ!$V$20:$AF$27,6,0))</f>
        <v/>
      </c>
      <c r="G19" s="564"/>
      <c r="H19" s="554" t="str">
        <f>IF(入力ﾌｫｰﾑ!$V20="","",VLOOKUP(入力ﾌｫｰﾑ!$V20,入力ﾌｫｰﾑ!$V$20:$AF$27,7,0))</f>
        <v/>
      </c>
      <c r="I19" s="555"/>
      <c r="J19" s="542" t="str">
        <f>IF(入力ﾌｫｰﾑ!$V20="","",VLOOKUP(入力ﾌｫｰﾑ!$V20,入力ﾌｫｰﾑ!$V$20:$AF$27,8,0))</f>
        <v/>
      </c>
      <c r="K19" s="542" t="str">
        <f>IF(入力ﾌｫｰﾑ!$V20="","",VLOOKUP(入力ﾌｫｰﾑ!$V20,入力ﾌｫｰﾑ!$V$20:$AF$27,9,0))</f>
        <v/>
      </c>
      <c r="L19" s="532" t="str">
        <f>IF(入力ﾌｫｰﾑ!$V20="","",VLOOKUP(入力ﾌｫｰﾑ!$V20,入力ﾌｫｰﾑ!$V$20:$AF$27,10,0))</f>
        <v/>
      </c>
      <c r="M19" s="528" t="str">
        <f>IF(入力ﾌｫｰﾑ!$V20="","",VLOOKUP(入力ﾌｫｰﾑ!$V20,入力ﾌｫｰﾑ!$V$20:$AF$27,11,0))</f>
        <v/>
      </c>
      <c r="N19" s="529"/>
    </row>
    <row r="20" spans="3:14" ht="37.5" customHeight="1" x14ac:dyDescent="0.15">
      <c r="C20" s="585"/>
      <c r="D20" s="558"/>
      <c r="E20" s="559"/>
      <c r="F20" s="561" t="str">
        <f>IF(入力ﾌｫｰﾑ!$V20="","",VLOOKUP(入力ﾌｫｰﾑ!$V20,入力ﾌｫｰﾑ!$V$20:$AF$27,4,0))</f>
        <v/>
      </c>
      <c r="G20" s="562"/>
      <c r="H20" s="544" t="str">
        <f>IF(入力ﾌｫｰﾑ!$V20="","",VLOOKUP(入力ﾌｫｰﾑ!$V20,入力ﾌｫｰﾑ!$V$20:$AF$27,5,0))</f>
        <v/>
      </c>
      <c r="I20" s="545"/>
      <c r="J20" s="543"/>
      <c r="K20" s="543"/>
      <c r="L20" s="533"/>
      <c r="M20" s="530"/>
      <c r="N20" s="531"/>
    </row>
    <row r="21" spans="3:14" ht="20.100000000000001" customHeight="1" x14ac:dyDescent="0.15">
      <c r="C21" s="584" t="str">
        <f>IF(入力ﾌｫｰﾑ!$V21="","",IF(VALUE(LEFT(入力ﾌｫｰﾑ!$V21,2))=91,"90㎏超級",CONCATENATE(LEFT(入力ﾌｫｰﾑ!$V21,2),"㎏級")))</f>
        <v/>
      </c>
      <c r="D21" s="556" t="str">
        <f>IF(入力ﾌｫｰﾑ!$V21="","",RIGHT(入力ﾌｫｰﾑ!$V21,1))</f>
        <v/>
      </c>
      <c r="E21" s="557"/>
      <c r="F21" s="563" t="str">
        <f>IF(入力ﾌｫｰﾑ!$V21="","",VLOOKUP(入力ﾌｫｰﾑ!$V21,入力ﾌｫｰﾑ!$V$20:$AF$27,6,0))</f>
        <v/>
      </c>
      <c r="G21" s="564"/>
      <c r="H21" s="554" t="str">
        <f>IF(入力ﾌｫｰﾑ!$V21="","",VLOOKUP(入力ﾌｫｰﾑ!$V21,入力ﾌｫｰﾑ!$V$20:$AF$27,7,0))</f>
        <v/>
      </c>
      <c r="I21" s="555"/>
      <c r="J21" s="542" t="str">
        <f>IF(入力ﾌｫｰﾑ!$V21="","",VLOOKUP(入力ﾌｫｰﾑ!$V21,入力ﾌｫｰﾑ!$V$20:$AF$27,8,0))</f>
        <v/>
      </c>
      <c r="K21" s="542" t="str">
        <f>IF(入力ﾌｫｰﾑ!$V21="","",VLOOKUP(入力ﾌｫｰﾑ!$V21,入力ﾌｫｰﾑ!$V$20:$AF$27,9,0))</f>
        <v/>
      </c>
      <c r="L21" s="532" t="str">
        <f>IF(入力ﾌｫｰﾑ!$V21="","",VLOOKUP(入力ﾌｫｰﾑ!$V21,入力ﾌｫｰﾑ!$V$20:$AF$27,10,0))</f>
        <v/>
      </c>
      <c r="M21" s="528" t="str">
        <f>IF(入力ﾌｫｰﾑ!$V21="","",VLOOKUP(入力ﾌｫｰﾑ!$V21,入力ﾌｫｰﾑ!$V$20:$AF$27,11,0))</f>
        <v/>
      </c>
      <c r="N21" s="529"/>
    </row>
    <row r="22" spans="3:14" ht="37.5" customHeight="1" x14ac:dyDescent="0.15">
      <c r="C22" s="585"/>
      <c r="D22" s="558"/>
      <c r="E22" s="559"/>
      <c r="F22" s="561" t="str">
        <f>IF(入力ﾌｫｰﾑ!$V21="","",VLOOKUP(入力ﾌｫｰﾑ!$V21,入力ﾌｫｰﾑ!$V$20:$AF$27,4,0))</f>
        <v/>
      </c>
      <c r="G22" s="562"/>
      <c r="H22" s="544" t="str">
        <f>IF(入力ﾌｫｰﾑ!$V21="","",VLOOKUP(入力ﾌｫｰﾑ!$V21,入力ﾌｫｰﾑ!$V$20:$AF$27,5,0))</f>
        <v/>
      </c>
      <c r="I22" s="545"/>
      <c r="J22" s="543"/>
      <c r="K22" s="543"/>
      <c r="L22" s="533"/>
      <c r="M22" s="530"/>
      <c r="N22" s="531"/>
    </row>
    <row r="23" spans="3:14" ht="20.100000000000001" customHeight="1" x14ac:dyDescent="0.15">
      <c r="C23" s="584" t="str">
        <f>IF(入力ﾌｫｰﾑ!$V22="","",IF(VALUE(LEFT(入力ﾌｫｰﾑ!$V22,2))=91,"90㎏超級",CONCATENATE(LEFT(入力ﾌｫｰﾑ!$V22,2),"㎏級")))</f>
        <v/>
      </c>
      <c r="D23" s="556" t="str">
        <f>IF(入力ﾌｫｰﾑ!$V22="","",RIGHT(入力ﾌｫｰﾑ!$V22,1))</f>
        <v/>
      </c>
      <c r="E23" s="557"/>
      <c r="F23" s="563" t="str">
        <f>IF(入力ﾌｫｰﾑ!$V22="","",VLOOKUP(入力ﾌｫｰﾑ!$V22,入力ﾌｫｰﾑ!$V$20:$AF$27,6,0))</f>
        <v/>
      </c>
      <c r="G23" s="564"/>
      <c r="H23" s="554" t="str">
        <f>IF(入力ﾌｫｰﾑ!$V22="","",VLOOKUP(入力ﾌｫｰﾑ!$V22,入力ﾌｫｰﾑ!$V$20:$AF$27,7,0))</f>
        <v/>
      </c>
      <c r="I23" s="555"/>
      <c r="J23" s="542" t="str">
        <f>IF(入力ﾌｫｰﾑ!$V22="","",VLOOKUP(入力ﾌｫｰﾑ!$V22,入力ﾌｫｰﾑ!$V$20:$AF$27,8,0))</f>
        <v/>
      </c>
      <c r="K23" s="542" t="str">
        <f>IF(入力ﾌｫｰﾑ!$V22="","",VLOOKUP(入力ﾌｫｰﾑ!$V22,入力ﾌｫｰﾑ!$V$20:$AF$27,9,0))</f>
        <v/>
      </c>
      <c r="L23" s="532" t="str">
        <f>IF(入力ﾌｫｰﾑ!$V22="","",VLOOKUP(入力ﾌｫｰﾑ!$V22,入力ﾌｫｰﾑ!$V$20:$AF$27,10,0))</f>
        <v/>
      </c>
      <c r="M23" s="528" t="str">
        <f>IF(入力ﾌｫｰﾑ!$V22="","",VLOOKUP(入力ﾌｫｰﾑ!$V22,入力ﾌｫｰﾑ!$V$20:$AF$27,11,0))</f>
        <v/>
      </c>
      <c r="N23" s="529"/>
    </row>
    <row r="24" spans="3:14" ht="37.5" customHeight="1" x14ac:dyDescent="0.15">
      <c r="C24" s="585"/>
      <c r="D24" s="558"/>
      <c r="E24" s="559"/>
      <c r="F24" s="561" t="str">
        <f>IF(入力ﾌｫｰﾑ!$V22="","",VLOOKUP(入力ﾌｫｰﾑ!$V22,入力ﾌｫｰﾑ!$V$20:$AF$27,4,0))</f>
        <v/>
      </c>
      <c r="G24" s="562"/>
      <c r="H24" s="544" t="str">
        <f>IF(入力ﾌｫｰﾑ!$V22="","",VLOOKUP(入力ﾌｫｰﾑ!$V22,入力ﾌｫｰﾑ!$V$20:$AF$27,5,0))</f>
        <v/>
      </c>
      <c r="I24" s="545"/>
      <c r="J24" s="543"/>
      <c r="K24" s="543"/>
      <c r="L24" s="533"/>
      <c r="M24" s="530"/>
      <c r="N24" s="531"/>
    </row>
    <row r="25" spans="3:14" ht="20.100000000000001" customHeight="1" x14ac:dyDescent="0.15">
      <c r="C25" s="584" t="str">
        <f>IF(入力ﾌｫｰﾑ!$V23="","",IF(VALUE(LEFT(入力ﾌｫｰﾑ!$V23,2))=91,"90㎏超級",CONCATENATE(LEFT(入力ﾌｫｰﾑ!$V23,2),"㎏級")))</f>
        <v/>
      </c>
      <c r="D25" s="556" t="str">
        <f>IF(入力ﾌｫｰﾑ!$V23="","",RIGHT(入力ﾌｫｰﾑ!$V23,1))</f>
        <v/>
      </c>
      <c r="E25" s="557"/>
      <c r="F25" s="563" t="str">
        <f>IF(入力ﾌｫｰﾑ!$V23="","",VLOOKUP(入力ﾌｫｰﾑ!$V23,入力ﾌｫｰﾑ!$V$20:$AF$27,6,0))</f>
        <v/>
      </c>
      <c r="G25" s="564"/>
      <c r="H25" s="554" t="str">
        <f>IF(入力ﾌｫｰﾑ!$V23="","",VLOOKUP(入力ﾌｫｰﾑ!$V23,入力ﾌｫｰﾑ!$V$20:$AF$27,7,0))</f>
        <v/>
      </c>
      <c r="I25" s="555"/>
      <c r="J25" s="542" t="str">
        <f>IF(入力ﾌｫｰﾑ!$V23="","",VLOOKUP(入力ﾌｫｰﾑ!$V23,入力ﾌｫｰﾑ!$V$20:$AF$27,8,0))</f>
        <v/>
      </c>
      <c r="K25" s="542" t="str">
        <f>IF(入力ﾌｫｰﾑ!$V23="","",VLOOKUP(入力ﾌｫｰﾑ!$V23,入力ﾌｫｰﾑ!$V$20:$AF$27,9,0))</f>
        <v/>
      </c>
      <c r="L25" s="532" t="str">
        <f>IF(入力ﾌｫｰﾑ!$V23="","",VLOOKUP(入力ﾌｫｰﾑ!$V23,入力ﾌｫｰﾑ!$V$20:$AF$27,10,0))</f>
        <v/>
      </c>
      <c r="M25" s="528" t="str">
        <f>IF(入力ﾌｫｰﾑ!$V23="","",VLOOKUP(入力ﾌｫｰﾑ!$V23,入力ﾌｫｰﾑ!$V$20:$AF$27,11,0))</f>
        <v/>
      </c>
      <c r="N25" s="529"/>
    </row>
    <row r="26" spans="3:14" ht="37.5" customHeight="1" x14ac:dyDescent="0.15">
      <c r="C26" s="585"/>
      <c r="D26" s="558"/>
      <c r="E26" s="559"/>
      <c r="F26" s="561" t="str">
        <f>IF(入力ﾌｫｰﾑ!$V23="","",VLOOKUP(入力ﾌｫｰﾑ!$V23,入力ﾌｫｰﾑ!$V$20:$AF$27,4,0))</f>
        <v/>
      </c>
      <c r="G26" s="562"/>
      <c r="H26" s="544" t="str">
        <f>IF(入力ﾌｫｰﾑ!$V23="","",VLOOKUP(入力ﾌｫｰﾑ!$V23,入力ﾌｫｰﾑ!$V$20:$AF$27,5,0))</f>
        <v/>
      </c>
      <c r="I26" s="545"/>
      <c r="J26" s="543"/>
      <c r="K26" s="543"/>
      <c r="L26" s="533"/>
      <c r="M26" s="530"/>
      <c r="N26" s="531"/>
    </row>
    <row r="27" spans="3:14" ht="20.100000000000001" customHeight="1" x14ac:dyDescent="0.15">
      <c r="C27" s="584" t="str">
        <f>IF(入力ﾌｫｰﾑ!$V24="","",IF(VALUE(LEFT(入力ﾌｫｰﾑ!$V24,2))=91,"90㎏超級",CONCATENATE(LEFT(入力ﾌｫｰﾑ!$V24,2),"㎏級")))</f>
        <v/>
      </c>
      <c r="D27" s="556" t="str">
        <f>IF(入力ﾌｫｰﾑ!$V24="","",RIGHT(入力ﾌｫｰﾑ!$V24,1))</f>
        <v/>
      </c>
      <c r="E27" s="557"/>
      <c r="F27" s="563" t="str">
        <f>IF(入力ﾌｫｰﾑ!$V24="","",VLOOKUP(入力ﾌｫｰﾑ!$V24,入力ﾌｫｰﾑ!$V$20:$AF$27,6,0))</f>
        <v/>
      </c>
      <c r="G27" s="564"/>
      <c r="H27" s="554" t="str">
        <f>IF(入力ﾌｫｰﾑ!$V24="","",VLOOKUP(入力ﾌｫｰﾑ!$V24,入力ﾌｫｰﾑ!$V$20:$AF$27,7,0))</f>
        <v/>
      </c>
      <c r="I27" s="555"/>
      <c r="J27" s="542" t="str">
        <f>IF(入力ﾌｫｰﾑ!$V24="","",VLOOKUP(入力ﾌｫｰﾑ!$V24,入力ﾌｫｰﾑ!$V$20:$AF$27,8,0))</f>
        <v/>
      </c>
      <c r="K27" s="542" t="str">
        <f>IF(入力ﾌｫｰﾑ!$V24="","",VLOOKUP(入力ﾌｫｰﾑ!$V24,入力ﾌｫｰﾑ!$V$20:$AF$27,9,0))</f>
        <v/>
      </c>
      <c r="L27" s="532" t="str">
        <f>IF(入力ﾌｫｰﾑ!$V24="","",VLOOKUP(入力ﾌｫｰﾑ!$V24,入力ﾌｫｰﾑ!$V$20:$AF$27,10,0))</f>
        <v/>
      </c>
      <c r="M27" s="528" t="str">
        <f>IF(入力ﾌｫｰﾑ!$V24="","",VLOOKUP(入力ﾌｫｰﾑ!$V24,入力ﾌｫｰﾑ!$V$20:$AF$27,11,0))</f>
        <v/>
      </c>
      <c r="N27" s="529"/>
    </row>
    <row r="28" spans="3:14" ht="37.5" customHeight="1" x14ac:dyDescent="0.15">
      <c r="C28" s="585"/>
      <c r="D28" s="558"/>
      <c r="E28" s="559"/>
      <c r="F28" s="561" t="str">
        <f>IF(入力ﾌｫｰﾑ!$V24="","",VLOOKUP(入力ﾌｫｰﾑ!$V24,入力ﾌｫｰﾑ!$V$20:$AF$27,4,0))</f>
        <v/>
      </c>
      <c r="G28" s="562"/>
      <c r="H28" s="544" t="str">
        <f>IF(入力ﾌｫｰﾑ!$V24="","",VLOOKUP(入力ﾌｫｰﾑ!$V24,入力ﾌｫｰﾑ!$V$20:$AF$27,5,0))</f>
        <v/>
      </c>
      <c r="I28" s="545"/>
      <c r="J28" s="543"/>
      <c r="K28" s="543"/>
      <c r="L28" s="533"/>
      <c r="M28" s="530"/>
      <c r="N28" s="531"/>
    </row>
    <row r="29" spans="3:14" ht="20.100000000000001" customHeight="1" x14ac:dyDescent="0.15">
      <c r="C29" s="584" t="str">
        <f>IF(入力ﾌｫｰﾑ!$V25="","",IF(VALUE(LEFT(入力ﾌｫｰﾑ!$V25,2))=91,"90㎏超級",CONCATENATE(LEFT(入力ﾌｫｰﾑ!$V25,2),"㎏級")))</f>
        <v/>
      </c>
      <c r="D29" s="556" t="str">
        <f>IF(入力ﾌｫｰﾑ!$V25="","",RIGHT(入力ﾌｫｰﾑ!$V25,1))</f>
        <v/>
      </c>
      <c r="E29" s="557"/>
      <c r="F29" s="563" t="str">
        <f>IF(入力ﾌｫｰﾑ!$V25="","",VLOOKUP(入力ﾌｫｰﾑ!$V25,入力ﾌｫｰﾑ!$V$20:$AF$27,6,0))</f>
        <v/>
      </c>
      <c r="G29" s="564"/>
      <c r="H29" s="554" t="str">
        <f>IF(入力ﾌｫｰﾑ!$V25="","",VLOOKUP(入力ﾌｫｰﾑ!$V25,入力ﾌｫｰﾑ!$V$20:$AF$27,7,0))</f>
        <v/>
      </c>
      <c r="I29" s="555"/>
      <c r="J29" s="542" t="str">
        <f>IF(入力ﾌｫｰﾑ!$V25="","",VLOOKUP(入力ﾌｫｰﾑ!$V25,入力ﾌｫｰﾑ!$V$20:$AF$27,8,0))</f>
        <v/>
      </c>
      <c r="K29" s="542" t="str">
        <f>IF(入力ﾌｫｰﾑ!$V25="","",VLOOKUP(入力ﾌｫｰﾑ!$V25,入力ﾌｫｰﾑ!$V$20:$AF$27,9,0))</f>
        <v/>
      </c>
      <c r="L29" s="532" t="str">
        <f>IF(入力ﾌｫｰﾑ!$V25="","",VLOOKUP(入力ﾌｫｰﾑ!$V25,入力ﾌｫｰﾑ!$V$20:$AF$27,10,0))</f>
        <v/>
      </c>
      <c r="M29" s="528" t="str">
        <f>IF(入力ﾌｫｰﾑ!$V25="","",VLOOKUP(入力ﾌｫｰﾑ!$V25,入力ﾌｫｰﾑ!$V$20:$AF$27,11,0))</f>
        <v/>
      </c>
      <c r="N29" s="529"/>
    </row>
    <row r="30" spans="3:14" ht="37.5" customHeight="1" x14ac:dyDescent="0.15">
      <c r="C30" s="585"/>
      <c r="D30" s="558"/>
      <c r="E30" s="559"/>
      <c r="F30" s="561" t="str">
        <f>IF(入力ﾌｫｰﾑ!$V25="","",VLOOKUP(入力ﾌｫｰﾑ!$V25,入力ﾌｫｰﾑ!$V$20:$AF$27,4,0))</f>
        <v/>
      </c>
      <c r="G30" s="562"/>
      <c r="H30" s="544" t="str">
        <f>IF(入力ﾌｫｰﾑ!$V25="","",VLOOKUP(入力ﾌｫｰﾑ!$V25,入力ﾌｫｰﾑ!$V$20:$AF$27,5,0))</f>
        <v/>
      </c>
      <c r="I30" s="545"/>
      <c r="J30" s="543"/>
      <c r="K30" s="543"/>
      <c r="L30" s="533"/>
      <c r="M30" s="530"/>
      <c r="N30" s="531"/>
    </row>
    <row r="31" spans="3:14" ht="20.100000000000001" customHeight="1" x14ac:dyDescent="0.15">
      <c r="C31" s="584" t="str">
        <f>IF(入力ﾌｫｰﾑ!$V26="","",IF(VALUE(LEFT(入力ﾌｫｰﾑ!$V26,2))=91,"90㎏超級",CONCATENATE(LEFT(入力ﾌｫｰﾑ!$V26,2),"㎏級")))</f>
        <v/>
      </c>
      <c r="D31" s="556" t="str">
        <f>IF(入力ﾌｫｰﾑ!$V26="","",RIGHT(入力ﾌｫｰﾑ!$V26,1))</f>
        <v/>
      </c>
      <c r="E31" s="557"/>
      <c r="F31" s="563" t="str">
        <f>IF(入力ﾌｫｰﾑ!$V26="","",VLOOKUP(入力ﾌｫｰﾑ!$V26,入力ﾌｫｰﾑ!$V$20:$AF$27,6,0))</f>
        <v/>
      </c>
      <c r="G31" s="564"/>
      <c r="H31" s="554" t="str">
        <f>IF(入力ﾌｫｰﾑ!$V26="","",VLOOKUP(入力ﾌｫｰﾑ!$V26,入力ﾌｫｰﾑ!$V$20:$AF$27,7,0))</f>
        <v/>
      </c>
      <c r="I31" s="555"/>
      <c r="J31" s="542" t="str">
        <f>IF(入力ﾌｫｰﾑ!$V26="","",VLOOKUP(入力ﾌｫｰﾑ!$V26,入力ﾌｫｰﾑ!$V$20:$AF$27,8,0))</f>
        <v/>
      </c>
      <c r="K31" s="542" t="str">
        <f>IF(入力ﾌｫｰﾑ!$V26="","",VLOOKUP(入力ﾌｫｰﾑ!$V26,入力ﾌｫｰﾑ!$V$20:$AF$27,9,0))</f>
        <v/>
      </c>
      <c r="L31" s="532" t="str">
        <f>IF(入力ﾌｫｰﾑ!$V26="","",VLOOKUP(入力ﾌｫｰﾑ!$V26,入力ﾌｫｰﾑ!$V$20:$AF$27,10,0))</f>
        <v/>
      </c>
      <c r="M31" s="528" t="str">
        <f>IF(入力ﾌｫｰﾑ!$V26="","",VLOOKUP(入力ﾌｫｰﾑ!$V26,入力ﾌｫｰﾑ!$V$20:$AF$27,11,0))</f>
        <v/>
      </c>
      <c r="N31" s="529"/>
    </row>
    <row r="32" spans="3:14" ht="37.5" customHeight="1" x14ac:dyDescent="0.15">
      <c r="C32" s="585"/>
      <c r="D32" s="558"/>
      <c r="E32" s="559"/>
      <c r="F32" s="561" t="str">
        <f>IF(入力ﾌｫｰﾑ!$V26="","",VLOOKUP(入力ﾌｫｰﾑ!$V26,入力ﾌｫｰﾑ!$V$20:$AF$27,4,0))</f>
        <v/>
      </c>
      <c r="G32" s="562"/>
      <c r="H32" s="544" t="str">
        <f>IF(入力ﾌｫｰﾑ!$V26="","",VLOOKUP(入力ﾌｫｰﾑ!$V26,入力ﾌｫｰﾑ!$V$20:$AF$27,5,0))</f>
        <v/>
      </c>
      <c r="I32" s="545"/>
      <c r="J32" s="543"/>
      <c r="K32" s="543"/>
      <c r="L32" s="533"/>
      <c r="M32" s="530"/>
      <c r="N32" s="531"/>
    </row>
    <row r="33" spans="3:14" ht="20.100000000000001" customHeight="1" x14ac:dyDescent="0.15">
      <c r="C33" s="584" t="str">
        <f>IF(入力ﾌｫｰﾑ!$V27="","",IF(VALUE(LEFT(入力ﾌｫｰﾑ!$V27,2))=91,"90㎏超級",CONCATENATE(LEFT(入力ﾌｫｰﾑ!$V27,2),"㎏級")))</f>
        <v/>
      </c>
      <c r="D33" s="556" t="str">
        <f>IF(入力ﾌｫｰﾑ!$V27="","",RIGHT(入力ﾌｫｰﾑ!$V27,1))</f>
        <v/>
      </c>
      <c r="E33" s="557"/>
      <c r="F33" s="563" t="str">
        <f>IF(入力ﾌｫｰﾑ!$V27="","",VLOOKUP(入力ﾌｫｰﾑ!$V27,入力ﾌｫｰﾑ!$V$20:$AF$27,6,0))</f>
        <v/>
      </c>
      <c r="G33" s="564"/>
      <c r="H33" s="554" t="str">
        <f>IF(入力ﾌｫｰﾑ!$V27="","",VLOOKUP(入力ﾌｫｰﾑ!$V27,入力ﾌｫｰﾑ!$V$20:$AF$27,7,0))</f>
        <v/>
      </c>
      <c r="I33" s="555"/>
      <c r="J33" s="542" t="str">
        <f>IF(入力ﾌｫｰﾑ!$V27="","",VLOOKUP(入力ﾌｫｰﾑ!$V27,入力ﾌｫｰﾑ!$V$20:$AF$27,8,0))</f>
        <v/>
      </c>
      <c r="K33" s="542" t="str">
        <f>IF(入力ﾌｫｰﾑ!$V27="","",VLOOKUP(入力ﾌｫｰﾑ!$V27,入力ﾌｫｰﾑ!$V$20:$AF$27,9,0))</f>
        <v/>
      </c>
      <c r="L33" s="532" t="str">
        <f>IF(入力ﾌｫｰﾑ!$V27="","",VLOOKUP(入力ﾌｫｰﾑ!$V27,入力ﾌｫｰﾑ!$V$20:$AF$27,10,0))</f>
        <v/>
      </c>
      <c r="M33" s="528" t="str">
        <f>IF(入力ﾌｫｰﾑ!$V27="","",VLOOKUP(入力ﾌｫｰﾑ!$V27,入力ﾌｫｰﾑ!$V$20:$AF$27,11,0))</f>
        <v/>
      </c>
      <c r="N33" s="529"/>
    </row>
    <row r="34" spans="3:14" ht="37.5" customHeight="1" x14ac:dyDescent="0.15">
      <c r="C34" s="585"/>
      <c r="D34" s="558"/>
      <c r="E34" s="559"/>
      <c r="F34" s="561" t="str">
        <f>IF(入力ﾌｫｰﾑ!$V27="","",VLOOKUP(入力ﾌｫｰﾑ!$V27,入力ﾌｫｰﾑ!$V$20:$AF$27,4,0))</f>
        <v/>
      </c>
      <c r="G34" s="562"/>
      <c r="H34" s="544" t="str">
        <f>IF(入力ﾌｫｰﾑ!$V27="","",VLOOKUP(入力ﾌｫｰﾑ!$V27,入力ﾌｫｰﾑ!$V$20:$AF$27,5,0))</f>
        <v/>
      </c>
      <c r="I34" s="545"/>
      <c r="J34" s="543"/>
      <c r="K34" s="543"/>
      <c r="L34" s="533"/>
      <c r="M34" s="530"/>
      <c r="N34" s="531"/>
    </row>
    <row r="35" spans="3:14" ht="7.5" customHeight="1" x14ac:dyDescent="0.15">
      <c r="D35" s="194"/>
      <c r="E35" s="194"/>
      <c r="F35" s="194"/>
      <c r="G35" s="194"/>
      <c r="H35" s="194"/>
      <c r="I35" s="194"/>
      <c r="J35" s="560"/>
      <c r="K35" s="560"/>
      <c r="L35" s="560"/>
      <c r="M35" s="560"/>
      <c r="N35" s="560"/>
    </row>
    <row r="36" spans="3:14" ht="24" customHeight="1" x14ac:dyDescent="0.15">
      <c r="C36" s="527" t="str">
        <f>IF(入力ﾌｫｰﾑ!$F$3="","（　　　）　大会出場者（引率・監督・コーチ・選手）の宿泊申込については，指定業者を通して申し込みます。","（　○　）　大会出場者（引率・監督・コーチ・選手）の宿泊申込については，指定業者を通して申し込みます。")</f>
        <v>（　　　）　大会出場者（引率・監督・コーチ・選手）の宿泊申込については，指定業者を通して申し込みます。</v>
      </c>
      <c r="D36" s="527"/>
      <c r="E36" s="527"/>
      <c r="F36" s="527"/>
      <c r="G36" s="527"/>
      <c r="H36" s="527"/>
      <c r="I36" s="527"/>
      <c r="J36" s="527"/>
      <c r="K36" s="527"/>
      <c r="L36" s="527"/>
      <c r="M36" s="527"/>
      <c r="N36" s="527"/>
    </row>
    <row r="37" spans="3:14" ht="24" customHeight="1" x14ac:dyDescent="0.15">
      <c r="C37" s="527" t="str">
        <f>IF(入力ﾌｫｰﾑ!$F$3="","（　○　）　今回は宿泊を行わずに大会に参加します。","（　　　）　今回は宿泊を行わずに大会に参加します。")</f>
        <v>（　○　）　今回は宿泊を行わずに大会に参加します。</v>
      </c>
      <c r="D37" s="527"/>
      <c r="E37" s="527"/>
      <c r="F37" s="527"/>
      <c r="G37" s="527"/>
      <c r="H37" s="527"/>
      <c r="I37" s="527"/>
      <c r="J37" s="527"/>
      <c r="K37" s="527"/>
      <c r="L37" s="527"/>
      <c r="M37" s="527"/>
      <c r="N37" s="527"/>
    </row>
    <row r="38" spans="3:14" ht="24" customHeight="1" x14ac:dyDescent="0.15">
      <c r="C38" s="384" t="s">
        <v>2658</v>
      </c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</row>
    <row r="40" spans="3:14" x14ac:dyDescent="0.15">
      <c r="D40" s="195"/>
      <c r="E40" s="195"/>
      <c r="F40" s="195"/>
      <c r="G40" s="195"/>
      <c r="H40" s="195"/>
      <c r="I40" s="195"/>
      <c r="J40" s="195"/>
    </row>
    <row r="41" spans="3:14" x14ac:dyDescent="0.15">
      <c r="D41" s="195"/>
      <c r="E41" s="195"/>
      <c r="F41" s="195"/>
      <c r="G41" s="195"/>
      <c r="H41" s="195"/>
    </row>
    <row r="42" spans="3:14" x14ac:dyDescent="0.15">
      <c r="D42" s="195"/>
      <c r="E42" s="195"/>
      <c r="F42" s="195"/>
      <c r="G42" s="195"/>
      <c r="H42" s="195"/>
    </row>
    <row r="43" spans="3:14" x14ac:dyDescent="0.15">
      <c r="D43" s="195"/>
      <c r="E43" s="195"/>
      <c r="F43" s="195"/>
      <c r="G43" s="195"/>
      <c r="H43" s="195"/>
    </row>
    <row r="44" spans="3:14" x14ac:dyDescent="0.15">
      <c r="D44" s="195"/>
      <c r="E44" s="195"/>
      <c r="F44" s="195"/>
      <c r="G44" s="195"/>
      <c r="H44" s="195"/>
    </row>
    <row r="45" spans="3:14" x14ac:dyDescent="0.15">
      <c r="D45" s="195"/>
      <c r="E45" s="195"/>
      <c r="F45" s="195"/>
      <c r="G45" s="195"/>
      <c r="H45" s="195"/>
    </row>
    <row r="46" spans="3:14" x14ac:dyDescent="0.15">
      <c r="D46" s="195"/>
      <c r="E46" s="195"/>
      <c r="F46" s="195"/>
      <c r="G46" s="195"/>
      <c r="H46" s="195"/>
    </row>
    <row r="47" spans="3:14" x14ac:dyDescent="0.15">
      <c r="D47" s="195"/>
      <c r="E47" s="195"/>
      <c r="F47" s="195"/>
      <c r="G47" s="195"/>
      <c r="H47" s="195"/>
    </row>
    <row r="54" spans="7:7" x14ac:dyDescent="0.15">
      <c r="G54" s="196"/>
    </row>
    <row r="55" spans="7:7" x14ac:dyDescent="0.15">
      <c r="G55" s="196"/>
    </row>
    <row r="56" spans="7:7" x14ac:dyDescent="0.15">
      <c r="G56" s="196"/>
    </row>
    <row r="57" spans="7:7" x14ac:dyDescent="0.15">
      <c r="G57" s="196"/>
    </row>
    <row r="58" spans="7:7" x14ac:dyDescent="0.15">
      <c r="G58" s="196"/>
    </row>
    <row r="59" spans="7:7" x14ac:dyDescent="0.15">
      <c r="G59" s="196"/>
    </row>
    <row r="60" spans="7:7" x14ac:dyDescent="0.15">
      <c r="G60" s="196"/>
    </row>
    <row r="61" spans="7:7" x14ac:dyDescent="0.15">
      <c r="G61" s="196"/>
    </row>
    <row r="62" spans="7:7" x14ac:dyDescent="0.15">
      <c r="G62" s="196"/>
    </row>
    <row r="63" spans="7:7" x14ac:dyDescent="0.15">
      <c r="G63" s="196"/>
    </row>
    <row r="64" spans="7:7" x14ac:dyDescent="0.15">
      <c r="G64" s="196"/>
    </row>
  </sheetData>
  <sheetProtection sheet="1" objects="1" scenarios="1"/>
  <mergeCells count="121">
    <mergeCell ref="C31:C32"/>
    <mergeCell ref="C33:C34"/>
    <mergeCell ref="C1:N1"/>
    <mergeCell ref="D2:L2"/>
    <mergeCell ref="C16:C18"/>
    <mergeCell ref="C19:C20"/>
    <mergeCell ref="C21:C22"/>
    <mergeCell ref="C23:C24"/>
    <mergeCell ref="C25:C26"/>
    <mergeCell ref="C27:C28"/>
    <mergeCell ref="C29:C30"/>
    <mergeCell ref="J16:J18"/>
    <mergeCell ref="D16:E18"/>
    <mergeCell ref="L10:N11"/>
    <mergeCell ref="F9:H9"/>
    <mergeCell ref="M16:N18"/>
    <mergeCell ref="L16:L18"/>
    <mergeCell ref="F13:J13"/>
    <mergeCell ref="F14:J14"/>
    <mergeCell ref="F16:I16"/>
    <mergeCell ref="F12:H12"/>
    <mergeCell ref="H8:N8"/>
    <mergeCell ref="F10:J10"/>
    <mergeCell ref="F11:J11"/>
    <mergeCell ref="F18:G18"/>
    <mergeCell ref="F17:I17"/>
    <mergeCell ref="K13:K14"/>
    <mergeCell ref="K10:K11"/>
    <mergeCell ref="H18:I18"/>
    <mergeCell ref="C4:D4"/>
    <mergeCell ref="C5:D5"/>
    <mergeCell ref="C10:D12"/>
    <mergeCell ref="C13:D14"/>
    <mergeCell ref="L23:L24"/>
    <mergeCell ref="K21:K22"/>
    <mergeCell ref="J19:J20"/>
    <mergeCell ref="K19:K20"/>
    <mergeCell ref="K23:K24"/>
    <mergeCell ref="H23:I23"/>
    <mergeCell ref="M23:N24"/>
    <mergeCell ref="H24:I24"/>
    <mergeCell ref="F23:G23"/>
    <mergeCell ref="F20:G20"/>
    <mergeCell ref="F22:G22"/>
    <mergeCell ref="F19:G19"/>
    <mergeCell ref="H21:I21"/>
    <mergeCell ref="L21:L22"/>
    <mergeCell ref="D23:E24"/>
    <mergeCell ref="F24:G24"/>
    <mergeCell ref="H25:I25"/>
    <mergeCell ref="K25:K26"/>
    <mergeCell ref="F21:G21"/>
    <mergeCell ref="D21:E22"/>
    <mergeCell ref="D25:E26"/>
    <mergeCell ref="J25:J26"/>
    <mergeCell ref="J23:J24"/>
    <mergeCell ref="F25:G25"/>
    <mergeCell ref="F26:G26"/>
    <mergeCell ref="H26:I26"/>
    <mergeCell ref="J27:J28"/>
    <mergeCell ref="K31:K32"/>
    <mergeCell ref="H30:I30"/>
    <mergeCell ref="H29:I29"/>
    <mergeCell ref="H28:I28"/>
    <mergeCell ref="F27:G27"/>
    <mergeCell ref="F30:G30"/>
    <mergeCell ref="H31:I31"/>
    <mergeCell ref="J31:J32"/>
    <mergeCell ref="F31:G31"/>
    <mergeCell ref="F32:G32"/>
    <mergeCell ref="H32:I32"/>
    <mergeCell ref="F29:G29"/>
    <mergeCell ref="H27:I27"/>
    <mergeCell ref="C6:D6"/>
    <mergeCell ref="C7:D7"/>
    <mergeCell ref="C8:D9"/>
    <mergeCell ref="J35:N35"/>
    <mergeCell ref="M33:N34"/>
    <mergeCell ref="K33:K34"/>
    <mergeCell ref="L33:L34"/>
    <mergeCell ref="J33:J34"/>
    <mergeCell ref="D27:E28"/>
    <mergeCell ref="D31:E32"/>
    <mergeCell ref="F28:G28"/>
    <mergeCell ref="D29:E30"/>
    <mergeCell ref="M29:N30"/>
    <mergeCell ref="M31:N32"/>
    <mergeCell ref="M27:N28"/>
    <mergeCell ref="L31:L32"/>
    <mergeCell ref="D33:E34"/>
    <mergeCell ref="F33:G33"/>
    <mergeCell ref="H33:I33"/>
    <mergeCell ref="F34:G34"/>
    <mergeCell ref="H34:I34"/>
    <mergeCell ref="K27:K28"/>
    <mergeCell ref="K29:K30"/>
    <mergeCell ref="J29:J30"/>
    <mergeCell ref="C36:N36"/>
    <mergeCell ref="M19:N20"/>
    <mergeCell ref="C38:N38"/>
    <mergeCell ref="C37:N37"/>
    <mergeCell ref="L25:L26"/>
    <mergeCell ref="M25:N26"/>
    <mergeCell ref="L27:L28"/>
    <mergeCell ref="L29:L30"/>
    <mergeCell ref="H4:N4"/>
    <mergeCell ref="K16:K18"/>
    <mergeCell ref="E5:N5"/>
    <mergeCell ref="E7:K7"/>
    <mergeCell ref="L19:L20"/>
    <mergeCell ref="J21:J22"/>
    <mergeCell ref="M21:N22"/>
    <mergeCell ref="H22:I22"/>
    <mergeCell ref="E6:N6"/>
    <mergeCell ref="E4:F4"/>
    <mergeCell ref="L13:N14"/>
    <mergeCell ref="J9:N9"/>
    <mergeCell ref="J12:N12"/>
    <mergeCell ref="H20:I20"/>
    <mergeCell ref="H19:I19"/>
    <mergeCell ref="D19:E20"/>
  </mergeCells>
  <phoneticPr fontId="2"/>
  <dataValidations count="4">
    <dataValidation allowBlank="1" errorTitle="エラー！" error="「キャンセル」を押して、↓ボタンをクリックして一覧から選択して下さい_x000a_" promptTitle="「↓」を押して" prompt="リストから選んで下さい！" sqref="G4"/>
    <dataValidation imeMode="on" allowBlank="1" errorTitle="エラー！" error="「キャンセル」を押して、↓ボタンをクリックして一覧から選択して下さい_x000a_" promptTitle="「↓」を押して" prompt="リストから選んで下さい！" sqref="E5:E6"/>
    <dataValidation imeMode="on" allowBlank="1" showInputMessage="1" showErrorMessage="1" sqref="F13:F14 E7 H8 F10:F11 L10"/>
    <dataValidation imeMode="off" allowBlank="1" showInputMessage="1" showErrorMessage="1" sqref="J9 J12 F8:F9 F12 L19:L21 L23 L25 L27 L29 L31 L33"/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83" orientation="portrait" errors="blank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view="pageBreakPreview" zoomScaleNormal="100" zoomScaleSheetLayoutView="100" workbookViewId="0">
      <selection activeCell="T27" sqref="T27"/>
    </sheetView>
  </sheetViews>
  <sheetFormatPr defaultRowHeight="13.5" x14ac:dyDescent="0.15"/>
  <cols>
    <col min="1" max="1" width="11" style="162" customWidth="1"/>
    <col min="2" max="2" width="10" style="162" customWidth="1"/>
    <col min="3" max="3" width="10.625" style="162" customWidth="1"/>
    <col min="4" max="4" width="3.75" style="179" customWidth="1"/>
    <col min="5" max="5" width="5" style="179" customWidth="1"/>
    <col min="6" max="6" width="12.75" style="179" customWidth="1"/>
    <col min="7" max="7" width="6.875" style="179" customWidth="1"/>
    <col min="8" max="8" width="15.625" style="179" customWidth="1"/>
    <col min="9" max="9" width="5.75" style="179" customWidth="1"/>
    <col min="10" max="11" width="7.875" style="179" customWidth="1"/>
    <col min="12" max="12" width="10.625" style="179" customWidth="1"/>
    <col min="13" max="13" width="4.375" style="179" customWidth="1"/>
    <col min="14" max="14" width="3.75" style="179" customWidth="1"/>
    <col min="15" max="16384" width="9" style="179"/>
  </cols>
  <sheetData>
    <row r="1" spans="1:14" ht="30" customHeight="1" thickBot="1" x14ac:dyDescent="0.2">
      <c r="A1" s="161" t="s">
        <v>887</v>
      </c>
      <c r="C1" s="466" t="str">
        <f>男子団体!$C$1</f>
        <v>平成２８年度東北中学校体育大会　第３９回東北中学校柔道大会</v>
      </c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</row>
    <row r="2" spans="1:14" ht="30" customHeight="1" thickBot="1" x14ac:dyDescent="0.2">
      <c r="A2" s="163">
        <f>メインシート!C6</f>
        <v>0</v>
      </c>
      <c r="C2" s="180"/>
      <c r="D2" s="603" t="s">
        <v>1134</v>
      </c>
      <c r="E2" s="603"/>
      <c r="F2" s="603"/>
      <c r="G2" s="603"/>
      <c r="H2" s="603"/>
      <c r="I2" s="603"/>
      <c r="J2" s="603"/>
      <c r="K2" s="603"/>
      <c r="L2" s="603"/>
      <c r="M2" s="181"/>
      <c r="N2" s="181"/>
    </row>
    <row r="3" spans="1:14" ht="14.25" thickBot="1" x14ac:dyDescent="0.2"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30" customHeight="1" thickBot="1" x14ac:dyDescent="0.2">
      <c r="A4" s="163">
        <f>メインシート!$C$8</f>
        <v>4</v>
      </c>
      <c r="C4" s="469" t="s">
        <v>15</v>
      </c>
      <c r="D4" s="469"/>
      <c r="E4" s="601" t="str">
        <f>VLOOKUP($A$4,メインシート!$B$13:$D$18,2,0)</f>
        <v>山形</v>
      </c>
      <c r="F4" s="602"/>
      <c r="G4" s="183" t="s">
        <v>16</v>
      </c>
      <c r="H4" s="534"/>
      <c r="I4" s="535"/>
      <c r="J4" s="536"/>
      <c r="K4" s="536"/>
      <c r="L4" s="536"/>
      <c r="M4" s="536"/>
      <c r="N4" s="536"/>
    </row>
    <row r="5" spans="1:14" ht="15.75" customHeight="1" x14ac:dyDescent="0.15">
      <c r="C5" s="582" t="s">
        <v>1136</v>
      </c>
      <c r="D5" s="583"/>
      <c r="E5" s="537" t="e">
        <f>VLOOKUP($A$2,学校ﾏｽﾀｰ!$C$4:$AC$363,25,0)</f>
        <v>#N/A</v>
      </c>
      <c r="F5" s="538"/>
      <c r="G5" s="538"/>
      <c r="H5" s="538"/>
      <c r="I5" s="538"/>
      <c r="J5" s="538"/>
      <c r="K5" s="538"/>
      <c r="L5" s="538"/>
      <c r="M5" s="538"/>
      <c r="N5" s="539"/>
    </row>
    <row r="6" spans="1:14" ht="30" customHeight="1" x14ac:dyDescent="0.15">
      <c r="C6" s="480" t="s">
        <v>0</v>
      </c>
      <c r="D6" s="481"/>
      <c r="E6" s="546" t="e">
        <f>VLOOKUP($A$2,学校ﾏｽﾀｰ!$C$4:$AC$363,3,0)</f>
        <v>#N/A</v>
      </c>
      <c r="F6" s="547"/>
      <c r="G6" s="547"/>
      <c r="H6" s="547"/>
      <c r="I6" s="547"/>
      <c r="J6" s="547"/>
      <c r="K6" s="547"/>
      <c r="L6" s="547"/>
      <c r="M6" s="547"/>
      <c r="N6" s="548"/>
    </row>
    <row r="7" spans="1:14" ht="36.75" customHeight="1" x14ac:dyDescent="0.15">
      <c r="C7" s="480" t="s">
        <v>39</v>
      </c>
      <c r="D7" s="481"/>
      <c r="E7" s="540" t="str">
        <f>IF(メインシート!$H$7="","",メインシート!$H$7)</f>
        <v/>
      </c>
      <c r="F7" s="541"/>
      <c r="G7" s="541"/>
      <c r="H7" s="541"/>
      <c r="I7" s="541"/>
      <c r="J7" s="541"/>
      <c r="K7" s="541"/>
      <c r="L7" s="184" t="s">
        <v>40</v>
      </c>
      <c r="M7" s="185"/>
      <c r="N7" s="186"/>
    </row>
    <row r="8" spans="1:14" ht="30" customHeight="1" x14ac:dyDescent="0.15">
      <c r="C8" s="482" t="s">
        <v>25</v>
      </c>
      <c r="D8" s="483"/>
      <c r="E8" s="187" t="s">
        <v>43</v>
      </c>
      <c r="F8" s="188" t="e">
        <f>VLOOKUP($A$2,学校ﾏｽﾀｰ!$C$4:$AC$363,19,0)</f>
        <v>#N/A</v>
      </c>
      <c r="G8" s="189" t="s">
        <v>26</v>
      </c>
      <c r="H8" s="565" t="e">
        <f>VLOOKUP($A$2,学校ﾏｽﾀｰ!$C$4:$AC$363,20,0)</f>
        <v>#N/A</v>
      </c>
      <c r="I8" s="566"/>
      <c r="J8" s="566"/>
      <c r="K8" s="566"/>
      <c r="L8" s="566"/>
      <c r="M8" s="566"/>
      <c r="N8" s="567"/>
    </row>
    <row r="9" spans="1:14" ht="30" customHeight="1" x14ac:dyDescent="0.15">
      <c r="C9" s="484"/>
      <c r="D9" s="485"/>
      <c r="E9" s="187" t="s">
        <v>44</v>
      </c>
      <c r="F9" s="551" t="e">
        <f>VLOOKUP($A$2,学校ﾏｽﾀｰ!$C$4:$AC$363,17,0)</f>
        <v>#N/A</v>
      </c>
      <c r="G9" s="552"/>
      <c r="H9" s="553"/>
      <c r="I9" s="190" t="s">
        <v>45</v>
      </c>
      <c r="J9" s="551" t="e">
        <f>VLOOKUP($A$2,学校ﾏｽﾀｰ!$C$4:$AC$363,18,0)</f>
        <v>#N/A</v>
      </c>
      <c r="K9" s="552"/>
      <c r="L9" s="552"/>
      <c r="M9" s="552"/>
      <c r="N9" s="553"/>
    </row>
    <row r="10" spans="1:14" ht="18" customHeight="1" x14ac:dyDescent="0.15">
      <c r="C10" s="482" t="s">
        <v>27</v>
      </c>
      <c r="D10" s="483"/>
      <c r="E10" s="191" t="s">
        <v>24</v>
      </c>
      <c r="F10" s="568" t="str">
        <f>IF(F11="","",VLOOKUP(F11,入力ﾌｫｰﾑ!$C$4:$E$7,3,0))</f>
        <v/>
      </c>
      <c r="G10" s="569"/>
      <c r="H10" s="569"/>
      <c r="I10" s="569"/>
      <c r="J10" s="570"/>
      <c r="K10" s="578" t="s">
        <v>28</v>
      </c>
      <c r="L10" s="556" t="str">
        <f>IF(F11="","",VLOOKUP(F11,入力ﾌｫｰﾑ!$C$4:$E$7,2,0))</f>
        <v/>
      </c>
      <c r="M10" s="592"/>
      <c r="N10" s="557"/>
    </row>
    <row r="11" spans="1:14" ht="37.5" customHeight="1" x14ac:dyDescent="0.15">
      <c r="A11" s="162">
        <f>入力ﾌｫｰﾑ!$A$26</f>
        <v>242001</v>
      </c>
      <c r="C11" s="486"/>
      <c r="D11" s="487"/>
      <c r="E11" s="192" t="s">
        <v>29</v>
      </c>
      <c r="F11" s="571" t="str">
        <f>IF(VLOOKUP($A11,入力ﾌｫｰﾑ!$A$11:$F$27,4,0)="","",VLOOKUP($A11,入力ﾌｫｰﾑ!$A$11:$F$27,4,0))</f>
        <v/>
      </c>
      <c r="G11" s="572"/>
      <c r="H11" s="572"/>
      <c r="I11" s="572"/>
      <c r="J11" s="573"/>
      <c r="K11" s="579"/>
      <c r="L11" s="558"/>
      <c r="M11" s="593"/>
      <c r="N11" s="559"/>
    </row>
    <row r="12" spans="1:14" ht="30" customHeight="1" x14ac:dyDescent="0.15">
      <c r="A12" s="162">
        <f>入力ﾌｫｰﾑ!$A$26</f>
        <v>242001</v>
      </c>
      <c r="C12" s="484"/>
      <c r="D12" s="485"/>
      <c r="E12" s="187" t="s">
        <v>44</v>
      </c>
      <c r="F12" s="598" t="str">
        <f>IF(VLOOKUP($A12,入力ﾌｫｰﾑ!$A$11:$F$27,5,0)="","",VLOOKUP($A12,入力ﾌｫｰﾑ!$A$11:$F$27,5,0))</f>
        <v/>
      </c>
      <c r="G12" s="599"/>
      <c r="H12" s="600"/>
      <c r="I12" s="190" t="s">
        <v>30</v>
      </c>
      <c r="J12" s="551" t="str">
        <f>IF(VLOOKUP($A12,入力ﾌｫｰﾑ!$A$11:$F$27,6,0)="","",VLOOKUP($A12,入力ﾌｫｰﾑ!$A$11:$F$27,6,0))</f>
        <v/>
      </c>
      <c r="K12" s="552"/>
      <c r="L12" s="552"/>
      <c r="M12" s="552"/>
      <c r="N12" s="553"/>
    </row>
    <row r="13" spans="1:14" ht="18" customHeight="1" x14ac:dyDescent="0.15">
      <c r="C13" s="482" t="s">
        <v>41</v>
      </c>
      <c r="D13" s="483"/>
      <c r="E13" s="191" t="s">
        <v>24</v>
      </c>
      <c r="F13" s="568" t="str">
        <f>IF(F14="","",VLOOKUP(F14,入力ﾌｫｰﾑ!$C$4:$E$7,3,0))</f>
        <v/>
      </c>
      <c r="G13" s="569"/>
      <c r="H13" s="569"/>
      <c r="I13" s="569"/>
      <c r="J13" s="570"/>
      <c r="K13" s="578" t="s">
        <v>33</v>
      </c>
      <c r="L13" s="488" t="str">
        <f>IF(F14="","",VLOOKUP(F14,メインシート!$H$13:$R$19,9,0))</f>
        <v/>
      </c>
      <c r="M13" s="489"/>
      <c r="N13" s="490"/>
    </row>
    <row r="14" spans="1:14" ht="37.5" customHeight="1" x14ac:dyDescent="0.15">
      <c r="A14" s="162">
        <f>入力ﾌｫｰﾑ!$A$27</f>
        <v>242002</v>
      </c>
      <c r="C14" s="484"/>
      <c r="D14" s="485"/>
      <c r="E14" s="192" t="s">
        <v>29</v>
      </c>
      <c r="F14" s="571" t="str">
        <f>IF(VLOOKUP($A14,入力ﾌｫｰﾑ!$A$11:$F$27,4,0)="","",VLOOKUP($A14,入力ﾌｫｰﾑ!$A$11:$F$27,4,0))</f>
        <v/>
      </c>
      <c r="G14" s="572"/>
      <c r="H14" s="572"/>
      <c r="I14" s="572"/>
      <c r="J14" s="573"/>
      <c r="K14" s="579"/>
      <c r="L14" s="491"/>
      <c r="M14" s="492"/>
      <c r="N14" s="493"/>
    </row>
    <row r="15" spans="1:14" x14ac:dyDescent="0.15"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</row>
    <row r="16" spans="1:14" ht="27" customHeight="1" x14ac:dyDescent="0.15">
      <c r="C16" s="494" t="s">
        <v>13</v>
      </c>
      <c r="D16" s="587" t="s">
        <v>31</v>
      </c>
      <c r="E16" s="588"/>
      <c r="F16" s="596" t="s">
        <v>32</v>
      </c>
      <c r="G16" s="597"/>
      <c r="H16" s="597"/>
      <c r="I16" s="597"/>
      <c r="J16" s="500" t="s">
        <v>11</v>
      </c>
      <c r="K16" s="500" t="s">
        <v>36</v>
      </c>
      <c r="L16" s="500" t="s">
        <v>34</v>
      </c>
      <c r="M16" s="508" t="s">
        <v>12</v>
      </c>
      <c r="N16" s="509"/>
    </row>
    <row r="17" spans="3:14" ht="13.5" customHeight="1" x14ac:dyDescent="0.15">
      <c r="C17" s="495"/>
      <c r="D17" s="589"/>
      <c r="E17" s="590"/>
      <c r="F17" s="513" t="s">
        <v>24</v>
      </c>
      <c r="G17" s="576"/>
      <c r="H17" s="576"/>
      <c r="I17" s="577"/>
      <c r="J17" s="501"/>
      <c r="K17" s="501"/>
      <c r="L17" s="501"/>
      <c r="M17" s="510"/>
      <c r="N17" s="511"/>
    </row>
    <row r="18" spans="3:14" ht="17.25" customHeight="1" x14ac:dyDescent="0.15">
      <c r="C18" s="496"/>
      <c r="D18" s="591"/>
      <c r="E18" s="517"/>
      <c r="F18" s="574" t="s">
        <v>37</v>
      </c>
      <c r="G18" s="575"/>
      <c r="H18" s="580" t="s">
        <v>38</v>
      </c>
      <c r="I18" s="581"/>
      <c r="J18" s="502"/>
      <c r="K18" s="502"/>
      <c r="L18" s="502"/>
      <c r="M18" s="594"/>
      <c r="N18" s="595"/>
    </row>
    <row r="19" spans="3:14" ht="20.100000000000001" customHeight="1" x14ac:dyDescent="0.15">
      <c r="C19" s="584" t="str">
        <f>IF(入力ﾌｫｰﾑ!$V30="","",IF(VALUE(LEFT(入力ﾌｫｰﾑ!$V30,2))=71,"70㎏超級",CONCATENATE(LEFT(入力ﾌｫｰﾑ!$V30,2),"㎏級")))</f>
        <v/>
      </c>
      <c r="D19" s="556" t="str">
        <f>IF(入力ﾌｫｰﾑ!$V30="","",RIGHT(入力ﾌｫｰﾑ!$V30,1))</f>
        <v/>
      </c>
      <c r="E19" s="557"/>
      <c r="F19" s="563" t="str">
        <f>IF(入力ﾌｫｰﾑ!$V30="","",VLOOKUP(入力ﾌｫｰﾑ!$V30,入力ﾌｫｰﾑ!$V$30:$AF$37,6,0))</f>
        <v/>
      </c>
      <c r="G19" s="564"/>
      <c r="H19" s="554" t="str">
        <f>IF(入力ﾌｫｰﾑ!$V30="","",VLOOKUP(入力ﾌｫｰﾑ!$V30,入力ﾌｫｰﾑ!$V$30:$AF$37,7,0))</f>
        <v/>
      </c>
      <c r="I19" s="555"/>
      <c r="J19" s="542" t="str">
        <f>IF(入力ﾌｫｰﾑ!$V30="","",VLOOKUP(入力ﾌｫｰﾑ!$V30,入力ﾌｫｰﾑ!$V$30:$AF$37,8,0))</f>
        <v/>
      </c>
      <c r="K19" s="542" t="str">
        <f>IF(入力ﾌｫｰﾑ!$V30="","",VLOOKUP(入力ﾌｫｰﾑ!$V30,入力ﾌｫｰﾑ!$V$30:$AF$37,9,0))</f>
        <v/>
      </c>
      <c r="L19" s="532" t="str">
        <f>IF(入力ﾌｫｰﾑ!$V30="","",VLOOKUP(入力ﾌｫｰﾑ!$V30,入力ﾌｫｰﾑ!$V$30:$AF$37,10,0))</f>
        <v/>
      </c>
      <c r="M19" s="528" t="str">
        <f>IF(入力ﾌｫｰﾑ!$V30="","",VLOOKUP(入力ﾌｫｰﾑ!$V30,入力ﾌｫｰﾑ!$V$30:$AF$37,11,0))</f>
        <v/>
      </c>
      <c r="N19" s="529"/>
    </row>
    <row r="20" spans="3:14" ht="37.5" customHeight="1" x14ac:dyDescent="0.15">
      <c r="C20" s="585"/>
      <c r="D20" s="558"/>
      <c r="E20" s="559"/>
      <c r="F20" s="561" t="str">
        <f>IF(入力ﾌｫｰﾑ!$V30="","",VLOOKUP(入力ﾌｫｰﾑ!$V30,入力ﾌｫｰﾑ!$V$30:$AF$37,4,0))</f>
        <v/>
      </c>
      <c r="G20" s="562"/>
      <c r="H20" s="544" t="str">
        <f>IF(入力ﾌｫｰﾑ!$V30="","",VLOOKUP(入力ﾌｫｰﾑ!$V30,入力ﾌｫｰﾑ!$V$30:$AF$37,5,0))</f>
        <v/>
      </c>
      <c r="I20" s="545"/>
      <c r="J20" s="543"/>
      <c r="K20" s="543"/>
      <c r="L20" s="533"/>
      <c r="M20" s="530"/>
      <c r="N20" s="531"/>
    </row>
    <row r="21" spans="3:14" ht="20.100000000000001" customHeight="1" x14ac:dyDescent="0.15">
      <c r="C21" s="584" t="str">
        <f>IF(入力ﾌｫｰﾑ!$V31="","",IF(VALUE(LEFT(入力ﾌｫｰﾑ!$V31,2))=71,"70㎏超級",CONCATENATE(LEFT(入力ﾌｫｰﾑ!$V31,2),"㎏級")))</f>
        <v/>
      </c>
      <c r="D21" s="556" t="str">
        <f>IF(入力ﾌｫｰﾑ!$V31="","",RIGHT(入力ﾌｫｰﾑ!$V31,1))</f>
        <v/>
      </c>
      <c r="E21" s="557"/>
      <c r="F21" s="563" t="str">
        <f>IF(入力ﾌｫｰﾑ!$V31="","",VLOOKUP(入力ﾌｫｰﾑ!$V31,入力ﾌｫｰﾑ!$V$30:$AF$37,6,0))</f>
        <v/>
      </c>
      <c r="G21" s="564"/>
      <c r="H21" s="554" t="str">
        <f>IF(入力ﾌｫｰﾑ!$V31="","",VLOOKUP(入力ﾌｫｰﾑ!$V31,入力ﾌｫｰﾑ!$V$30:$AF$37,7,0))</f>
        <v/>
      </c>
      <c r="I21" s="555"/>
      <c r="J21" s="542" t="str">
        <f>IF(入力ﾌｫｰﾑ!$V31="","",VLOOKUP(入力ﾌｫｰﾑ!$V31,入力ﾌｫｰﾑ!$V$30:$AF$37,8,0))</f>
        <v/>
      </c>
      <c r="K21" s="542" t="str">
        <f>IF(入力ﾌｫｰﾑ!$V31="","",VLOOKUP(入力ﾌｫｰﾑ!$V31,入力ﾌｫｰﾑ!$V$30:$AF$37,9,0))</f>
        <v/>
      </c>
      <c r="L21" s="532" t="str">
        <f>IF(入力ﾌｫｰﾑ!$V31="","",VLOOKUP(入力ﾌｫｰﾑ!$V31,入力ﾌｫｰﾑ!$V$30:$AF$37,10,0))</f>
        <v/>
      </c>
      <c r="M21" s="528" t="str">
        <f>IF(入力ﾌｫｰﾑ!$V31="","",VLOOKUP(入力ﾌｫｰﾑ!$V31,入力ﾌｫｰﾑ!$V$30:$AF$37,11,0))</f>
        <v/>
      </c>
      <c r="N21" s="529"/>
    </row>
    <row r="22" spans="3:14" ht="37.5" customHeight="1" x14ac:dyDescent="0.15">
      <c r="C22" s="585"/>
      <c r="D22" s="558"/>
      <c r="E22" s="559"/>
      <c r="F22" s="561" t="str">
        <f>IF(入力ﾌｫｰﾑ!$V31="","",VLOOKUP(入力ﾌｫｰﾑ!$V31,入力ﾌｫｰﾑ!$V$30:$AF$37,4,0))</f>
        <v/>
      </c>
      <c r="G22" s="562"/>
      <c r="H22" s="544" t="str">
        <f>IF(入力ﾌｫｰﾑ!$V31="","",VLOOKUP(入力ﾌｫｰﾑ!$V31,入力ﾌｫｰﾑ!$V$30:$AF$37,5,0))</f>
        <v/>
      </c>
      <c r="I22" s="545"/>
      <c r="J22" s="543"/>
      <c r="K22" s="543"/>
      <c r="L22" s="533"/>
      <c r="M22" s="530"/>
      <c r="N22" s="531"/>
    </row>
    <row r="23" spans="3:14" ht="20.100000000000001" customHeight="1" x14ac:dyDescent="0.15">
      <c r="C23" s="584" t="str">
        <f>IF(入力ﾌｫｰﾑ!$V32="","",IF(VALUE(LEFT(入力ﾌｫｰﾑ!$V32,2))=71,"70㎏超級",CONCATENATE(LEFT(入力ﾌｫｰﾑ!$V32,2),"㎏級")))</f>
        <v/>
      </c>
      <c r="D23" s="556" t="str">
        <f>IF(入力ﾌｫｰﾑ!$V32="","",RIGHT(入力ﾌｫｰﾑ!$V32,1))</f>
        <v/>
      </c>
      <c r="E23" s="557"/>
      <c r="F23" s="563" t="str">
        <f>IF(入力ﾌｫｰﾑ!$V32="","",VLOOKUP(入力ﾌｫｰﾑ!$V32,入力ﾌｫｰﾑ!$V$30:$AF$37,6,0))</f>
        <v/>
      </c>
      <c r="G23" s="564"/>
      <c r="H23" s="554" t="str">
        <f>IF(入力ﾌｫｰﾑ!$V32="","",VLOOKUP(入力ﾌｫｰﾑ!$V32,入力ﾌｫｰﾑ!$V$30:$AF$37,7,0))</f>
        <v/>
      </c>
      <c r="I23" s="555"/>
      <c r="J23" s="542" t="str">
        <f>IF(入力ﾌｫｰﾑ!$V32="","",VLOOKUP(入力ﾌｫｰﾑ!$V32,入力ﾌｫｰﾑ!$V$30:$AF$37,8,0))</f>
        <v/>
      </c>
      <c r="K23" s="542" t="str">
        <f>IF(入力ﾌｫｰﾑ!$V32="","",VLOOKUP(入力ﾌｫｰﾑ!$V32,入力ﾌｫｰﾑ!$V$30:$AF$37,9,0))</f>
        <v/>
      </c>
      <c r="L23" s="532" t="str">
        <f>IF(入力ﾌｫｰﾑ!$V32="","",VLOOKUP(入力ﾌｫｰﾑ!$V32,入力ﾌｫｰﾑ!$V$30:$AF$37,10,0))</f>
        <v/>
      </c>
      <c r="M23" s="528" t="str">
        <f>IF(入力ﾌｫｰﾑ!$V32="","",VLOOKUP(入力ﾌｫｰﾑ!$V32,入力ﾌｫｰﾑ!$V$30:$AF$37,11,0))</f>
        <v/>
      </c>
      <c r="N23" s="529"/>
    </row>
    <row r="24" spans="3:14" ht="37.5" customHeight="1" x14ac:dyDescent="0.15">
      <c r="C24" s="585"/>
      <c r="D24" s="558"/>
      <c r="E24" s="559"/>
      <c r="F24" s="561" t="str">
        <f>IF(入力ﾌｫｰﾑ!$V32="","",VLOOKUP(入力ﾌｫｰﾑ!$V32,入力ﾌｫｰﾑ!$V$30:$AF$37,4,0))</f>
        <v/>
      </c>
      <c r="G24" s="562"/>
      <c r="H24" s="544" t="str">
        <f>IF(入力ﾌｫｰﾑ!$V32="","",VLOOKUP(入力ﾌｫｰﾑ!$V32,入力ﾌｫｰﾑ!$V$30:$AF$37,5,0))</f>
        <v/>
      </c>
      <c r="I24" s="545"/>
      <c r="J24" s="543"/>
      <c r="K24" s="543"/>
      <c r="L24" s="533"/>
      <c r="M24" s="530"/>
      <c r="N24" s="531"/>
    </row>
    <row r="25" spans="3:14" ht="20.100000000000001" customHeight="1" x14ac:dyDescent="0.15">
      <c r="C25" s="584" t="str">
        <f>IF(入力ﾌｫｰﾑ!$V33="","",IF(VALUE(LEFT(入力ﾌｫｰﾑ!$V33,2))=71,"70㎏超級",CONCATENATE(LEFT(入力ﾌｫｰﾑ!$V33,2),"㎏級")))</f>
        <v/>
      </c>
      <c r="D25" s="556" t="str">
        <f>IF(入力ﾌｫｰﾑ!$V33="","",RIGHT(入力ﾌｫｰﾑ!$V33,1))</f>
        <v/>
      </c>
      <c r="E25" s="557"/>
      <c r="F25" s="563" t="str">
        <f>IF(入力ﾌｫｰﾑ!$V33="","",VLOOKUP(入力ﾌｫｰﾑ!$V33,入力ﾌｫｰﾑ!$V$30:$AF$37,6,0))</f>
        <v/>
      </c>
      <c r="G25" s="564"/>
      <c r="H25" s="554" t="str">
        <f>IF(入力ﾌｫｰﾑ!$V33="","",VLOOKUP(入力ﾌｫｰﾑ!$V33,入力ﾌｫｰﾑ!$V$30:$AF$37,7,0))</f>
        <v/>
      </c>
      <c r="I25" s="555"/>
      <c r="J25" s="542" t="str">
        <f>IF(入力ﾌｫｰﾑ!$V33="","",VLOOKUP(入力ﾌｫｰﾑ!$V33,入力ﾌｫｰﾑ!$V$30:$AF$37,8,0))</f>
        <v/>
      </c>
      <c r="K25" s="542" t="str">
        <f>IF(入力ﾌｫｰﾑ!$V33="","",VLOOKUP(入力ﾌｫｰﾑ!$V33,入力ﾌｫｰﾑ!$V$30:$AF$37,9,0))</f>
        <v/>
      </c>
      <c r="L25" s="532" t="str">
        <f>IF(入力ﾌｫｰﾑ!$V33="","",VLOOKUP(入力ﾌｫｰﾑ!$V33,入力ﾌｫｰﾑ!$V$30:$AF$37,10,0))</f>
        <v/>
      </c>
      <c r="M25" s="528" t="str">
        <f>IF(入力ﾌｫｰﾑ!$V33="","",VLOOKUP(入力ﾌｫｰﾑ!$V33,入力ﾌｫｰﾑ!$V$30:$AF$37,11,0))</f>
        <v/>
      </c>
      <c r="N25" s="529"/>
    </row>
    <row r="26" spans="3:14" ht="37.5" customHeight="1" x14ac:dyDescent="0.15">
      <c r="C26" s="585"/>
      <c r="D26" s="558"/>
      <c r="E26" s="559"/>
      <c r="F26" s="561" t="str">
        <f>IF(入力ﾌｫｰﾑ!$V33="","",VLOOKUP(入力ﾌｫｰﾑ!$V33,入力ﾌｫｰﾑ!$V$33:$AF$37,4,0))</f>
        <v/>
      </c>
      <c r="G26" s="562"/>
      <c r="H26" s="544" t="str">
        <f>IF(入力ﾌｫｰﾑ!$V33="","",VLOOKUP(入力ﾌｫｰﾑ!$V33,入力ﾌｫｰﾑ!$V$33:$AF$37,5,0))</f>
        <v/>
      </c>
      <c r="I26" s="545"/>
      <c r="J26" s="543"/>
      <c r="K26" s="543"/>
      <c r="L26" s="533"/>
      <c r="M26" s="530"/>
      <c r="N26" s="531"/>
    </row>
    <row r="27" spans="3:14" ht="20.100000000000001" customHeight="1" x14ac:dyDescent="0.15">
      <c r="C27" s="584" t="str">
        <f>IF(入力ﾌｫｰﾑ!$V34="","",IF(VALUE(LEFT(入力ﾌｫｰﾑ!$V34,2))=71,"70㎏超級",CONCATENATE(LEFT(入力ﾌｫｰﾑ!$V34,2),"㎏級")))</f>
        <v/>
      </c>
      <c r="D27" s="556" t="str">
        <f>IF(入力ﾌｫｰﾑ!$V34="","",RIGHT(入力ﾌｫｰﾑ!$V34,1))</f>
        <v/>
      </c>
      <c r="E27" s="557"/>
      <c r="F27" s="563" t="str">
        <f>IF(入力ﾌｫｰﾑ!$V34="","",VLOOKUP(入力ﾌｫｰﾑ!$V34,入力ﾌｫｰﾑ!$V$30:$AF$37,6,0))</f>
        <v/>
      </c>
      <c r="G27" s="564"/>
      <c r="H27" s="554" t="str">
        <f>IF(入力ﾌｫｰﾑ!$V34="","",VLOOKUP(入力ﾌｫｰﾑ!$V34,入力ﾌｫｰﾑ!$V$30:$AF$37,7,0))</f>
        <v/>
      </c>
      <c r="I27" s="555"/>
      <c r="J27" s="542" t="str">
        <f>IF(入力ﾌｫｰﾑ!$V34="","",VLOOKUP(入力ﾌｫｰﾑ!$V34,入力ﾌｫｰﾑ!$V$30:$AF$37,8,0))</f>
        <v/>
      </c>
      <c r="K27" s="542" t="str">
        <f>IF(入力ﾌｫｰﾑ!$V34="","",VLOOKUP(入力ﾌｫｰﾑ!$V34,入力ﾌｫｰﾑ!$V$30:$AF$37,9,0))</f>
        <v/>
      </c>
      <c r="L27" s="532" t="str">
        <f>IF(入力ﾌｫｰﾑ!$V34="","",VLOOKUP(入力ﾌｫｰﾑ!$V34,入力ﾌｫｰﾑ!$V$30:$AF$37,10,0))</f>
        <v/>
      </c>
      <c r="M27" s="528" t="str">
        <f>IF(入力ﾌｫｰﾑ!$V34="","",VLOOKUP(入力ﾌｫｰﾑ!$V34,入力ﾌｫｰﾑ!$V$30:$AF$37,11,0))</f>
        <v/>
      </c>
      <c r="N27" s="529"/>
    </row>
    <row r="28" spans="3:14" ht="37.5" customHeight="1" x14ac:dyDescent="0.15">
      <c r="C28" s="585"/>
      <c r="D28" s="558"/>
      <c r="E28" s="559"/>
      <c r="F28" s="561" t="str">
        <f>IF(入力ﾌｫｰﾑ!$V34="","",VLOOKUP(入力ﾌｫｰﾑ!$V34,入力ﾌｫｰﾑ!$V$33:$AF$37,4,0))</f>
        <v/>
      </c>
      <c r="G28" s="562"/>
      <c r="H28" s="544" t="str">
        <f>IF(入力ﾌｫｰﾑ!$V34="","",VLOOKUP(入力ﾌｫｰﾑ!$V34,入力ﾌｫｰﾑ!$V$33:$AF$37,5,0))</f>
        <v/>
      </c>
      <c r="I28" s="545"/>
      <c r="J28" s="543"/>
      <c r="K28" s="543"/>
      <c r="L28" s="533"/>
      <c r="M28" s="530"/>
      <c r="N28" s="531"/>
    </row>
    <row r="29" spans="3:14" ht="20.100000000000001" customHeight="1" x14ac:dyDescent="0.15">
      <c r="C29" s="584" t="str">
        <f>IF(入力ﾌｫｰﾑ!$V35="","",IF(VALUE(LEFT(入力ﾌｫｰﾑ!$V35,2))=71,"70㎏超級",CONCATENATE(LEFT(入力ﾌｫｰﾑ!$V35,2),"㎏級")))</f>
        <v/>
      </c>
      <c r="D29" s="556" t="str">
        <f>IF(入力ﾌｫｰﾑ!$V35="","",RIGHT(入力ﾌｫｰﾑ!$V35,1))</f>
        <v/>
      </c>
      <c r="E29" s="557"/>
      <c r="F29" s="563" t="str">
        <f>IF(入力ﾌｫｰﾑ!$V35="","",VLOOKUP(入力ﾌｫｰﾑ!$V35,入力ﾌｫｰﾑ!$V$30:$AF$37,6,0))</f>
        <v/>
      </c>
      <c r="G29" s="564"/>
      <c r="H29" s="554" t="str">
        <f>IF(入力ﾌｫｰﾑ!$V35="","",VLOOKUP(入力ﾌｫｰﾑ!$V35,入力ﾌｫｰﾑ!$V$30:$AF$37,7,0))</f>
        <v/>
      </c>
      <c r="I29" s="555"/>
      <c r="J29" s="542" t="str">
        <f>IF(入力ﾌｫｰﾑ!$V35="","",VLOOKUP(入力ﾌｫｰﾑ!$V35,入力ﾌｫｰﾑ!$V$30:$AF$37,8,0))</f>
        <v/>
      </c>
      <c r="K29" s="542" t="str">
        <f>IF(入力ﾌｫｰﾑ!$V35="","",VLOOKUP(入力ﾌｫｰﾑ!$V35,入力ﾌｫｰﾑ!$V$30:$AF$37,9,0))</f>
        <v/>
      </c>
      <c r="L29" s="532" t="str">
        <f>IF(入力ﾌｫｰﾑ!$V35="","",VLOOKUP(入力ﾌｫｰﾑ!$V35,入力ﾌｫｰﾑ!$V$30:$AF$37,10,0))</f>
        <v/>
      </c>
      <c r="M29" s="528" t="str">
        <f>IF(入力ﾌｫｰﾑ!$V35="","",VLOOKUP(入力ﾌｫｰﾑ!$V35,入力ﾌｫｰﾑ!$V$30:$AF$37,11,0))</f>
        <v/>
      </c>
      <c r="N29" s="529"/>
    </row>
    <row r="30" spans="3:14" ht="37.5" customHeight="1" x14ac:dyDescent="0.15">
      <c r="C30" s="585"/>
      <c r="D30" s="558"/>
      <c r="E30" s="559"/>
      <c r="F30" s="561" t="str">
        <f>IF(入力ﾌｫｰﾑ!$V35="","",VLOOKUP(入力ﾌｫｰﾑ!$V35,入力ﾌｫｰﾑ!$V$33:$AF$37,4,0))</f>
        <v/>
      </c>
      <c r="G30" s="562"/>
      <c r="H30" s="544" t="str">
        <f>IF(入力ﾌｫｰﾑ!$V35="","",VLOOKUP(入力ﾌｫｰﾑ!$V35,入力ﾌｫｰﾑ!$V$33:$AF$37,5,0))</f>
        <v/>
      </c>
      <c r="I30" s="545"/>
      <c r="J30" s="543"/>
      <c r="K30" s="543"/>
      <c r="L30" s="533"/>
      <c r="M30" s="530"/>
      <c r="N30" s="531"/>
    </row>
    <row r="31" spans="3:14" ht="20.100000000000001" customHeight="1" x14ac:dyDescent="0.15">
      <c r="C31" s="584" t="str">
        <f>IF(入力ﾌｫｰﾑ!$V36="","",IF(VALUE(LEFT(入力ﾌｫｰﾑ!$V36,2))=71,"70㎏超級",CONCATENATE(LEFT(入力ﾌｫｰﾑ!$V36,2),"㎏級")))</f>
        <v/>
      </c>
      <c r="D31" s="556" t="str">
        <f>IF(入力ﾌｫｰﾑ!$V36="","",RIGHT(入力ﾌｫｰﾑ!$V36,1))</f>
        <v/>
      </c>
      <c r="E31" s="557"/>
      <c r="F31" s="563" t="str">
        <f>IF(入力ﾌｫｰﾑ!$V36="","",VLOOKUP(入力ﾌｫｰﾑ!$V36,入力ﾌｫｰﾑ!$V$30:$AF$37,6,0))</f>
        <v/>
      </c>
      <c r="G31" s="564"/>
      <c r="H31" s="554" t="str">
        <f>IF(入力ﾌｫｰﾑ!$V36="","",VLOOKUP(入力ﾌｫｰﾑ!$V36,入力ﾌｫｰﾑ!$V$30:$AF$37,7,0))</f>
        <v/>
      </c>
      <c r="I31" s="555"/>
      <c r="J31" s="542" t="str">
        <f>IF(入力ﾌｫｰﾑ!$V36="","",VLOOKUP(入力ﾌｫｰﾑ!$V36,入力ﾌｫｰﾑ!$V$30:$AF$37,8,0))</f>
        <v/>
      </c>
      <c r="K31" s="542" t="str">
        <f>IF(入力ﾌｫｰﾑ!$V36="","",VLOOKUP(入力ﾌｫｰﾑ!$V36,入力ﾌｫｰﾑ!$V$30:$AF$37,9,0))</f>
        <v/>
      </c>
      <c r="L31" s="532" t="str">
        <f>IF(入力ﾌｫｰﾑ!$V36="","",VLOOKUP(入力ﾌｫｰﾑ!$V36,入力ﾌｫｰﾑ!$V$30:$AF$37,10,0))</f>
        <v/>
      </c>
      <c r="M31" s="528" t="str">
        <f>IF(入力ﾌｫｰﾑ!$V36="","",VLOOKUP(入力ﾌｫｰﾑ!$V36,入力ﾌｫｰﾑ!$V$30:$AF$37,11,0))</f>
        <v/>
      </c>
      <c r="N31" s="529"/>
    </row>
    <row r="32" spans="3:14" ht="37.5" customHeight="1" x14ac:dyDescent="0.15">
      <c r="C32" s="585"/>
      <c r="D32" s="558"/>
      <c r="E32" s="559"/>
      <c r="F32" s="561" t="str">
        <f>IF(入力ﾌｫｰﾑ!$V36="","",VLOOKUP(入力ﾌｫｰﾑ!$V36,入力ﾌｫｰﾑ!$V$33:$AF$37,4,0))</f>
        <v/>
      </c>
      <c r="G32" s="562"/>
      <c r="H32" s="544" t="str">
        <f>IF(入力ﾌｫｰﾑ!$V36="","",VLOOKUP(入力ﾌｫｰﾑ!$V36,入力ﾌｫｰﾑ!$V$33:$AF$37,5,0))</f>
        <v/>
      </c>
      <c r="I32" s="545"/>
      <c r="J32" s="543"/>
      <c r="K32" s="543"/>
      <c r="L32" s="533"/>
      <c r="M32" s="530"/>
      <c r="N32" s="531"/>
    </row>
    <row r="33" spans="3:14" ht="20.100000000000001" customHeight="1" x14ac:dyDescent="0.15">
      <c r="C33" s="584" t="str">
        <f>IF(入力ﾌｫｰﾑ!$V37="","",IF(VALUE(LEFT(入力ﾌｫｰﾑ!$V37,2))=71,"70㎏超級",CONCATENATE(LEFT(入力ﾌｫｰﾑ!$V37,2),"㎏級")))</f>
        <v/>
      </c>
      <c r="D33" s="556" t="str">
        <f>IF(入力ﾌｫｰﾑ!$V37="","",RIGHT(入力ﾌｫｰﾑ!$V37,1))</f>
        <v/>
      </c>
      <c r="E33" s="557"/>
      <c r="F33" s="563" t="str">
        <f>IF(入力ﾌｫｰﾑ!$V37="","",VLOOKUP(入力ﾌｫｰﾑ!$V37,入力ﾌｫｰﾑ!$V$30:$AF$37,6,0))</f>
        <v/>
      </c>
      <c r="G33" s="564"/>
      <c r="H33" s="554" t="str">
        <f>IF(入力ﾌｫｰﾑ!$V37="","",VLOOKUP(入力ﾌｫｰﾑ!$V37,入力ﾌｫｰﾑ!$V$30:$AF$37,7,0))</f>
        <v/>
      </c>
      <c r="I33" s="555"/>
      <c r="J33" s="542" t="str">
        <f>IF(入力ﾌｫｰﾑ!$V37="","",VLOOKUP(入力ﾌｫｰﾑ!$V37,入力ﾌｫｰﾑ!$V$30:$AF$37,8,0))</f>
        <v/>
      </c>
      <c r="K33" s="542" t="str">
        <f>IF(入力ﾌｫｰﾑ!$V37="","",VLOOKUP(入力ﾌｫｰﾑ!$V37,入力ﾌｫｰﾑ!$V$30:$AF$37,9,0))</f>
        <v/>
      </c>
      <c r="L33" s="532" t="str">
        <f>IF(入力ﾌｫｰﾑ!$V37="","",VLOOKUP(入力ﾌｫｰﾑ!$V37,入力ﾌｫｰﾑ!$V$30:$AF$37,10,0))</f>
        <v/>
      </c>
      <c r="M33" s="528" t="str">
        <f>IF(入力ﾌｫｰﾑ!$V37="","",VLOOKUP(入力ﾌｫｰﾑ!$V37,入力ﾌｫｰﾑ!$V$30:$AF$37,11,0))</f>
        <v/>
      </c>
      <c r="N33" s="529"/>
    </row>
    <row r="34" spans="3:14" ht="37.5" customHeight="1" x14ac:dyDescent="0.15">
      <c r="C34" s="585"/>
      <c r="D34" s="558"/>
      <c r="E34" s="559"/>
      <c r="F34" s="561" t="str">
        <f>IF(入力ﾌｫｰﾑ!$V37="","",VLOOKUP(入力ﾌｫｰﾑ!$V37,入力ﾌｫｰﾑ!$V$33:$AF$37,4,0))</f>
        <v/>
      </c>
      <c r="G34" s="562"/>
      <c r="H34" s="544" t="str">
        <f>IF(入力ﾌｫｰﾑ!$V37="","",VLOOKUP(入力ﾌｫｰﾑ!$V37,入力ﾌｫｰﾑ!$V$33:$AF$37,5,0))</f>
        <v/>
      </c>
      <c r="I34" s="545"/>
      <c r="J34" s="543"/>
      <c r="K34" s="543"/>
      <c r="L34" s="533"/>
      <c r="M34" s="530"/>
      <c r="N34" s="531"/>
    </row>
    <row r="35" spans="3:14" ht="7.5" customHeight="1" x14ac:dyDescent="0.15">
      <c r="D35" s="194"/>
      <c r="E35" s="194"/>
      <c r="F35" s="194"/>
      <c r="G35" s="194"/>
      <c r="H35" s="194"/>
      <c r="I35" s="194"/>
      <c r="J35" s="560"/>
      <c r="K35" s="560"/>
      <c r="L35" s="560"/>
      <c r="M35" s="560"/>
      <c r="N35" s="560"/>
    </row>
    <row r="36" spans="3:14" ht="24" customHeight="1" x14ac:dyDescent="0.15">
      <c r="C36" s="527" t="str">
        <f>IF(入力ﾌｫｰﾑ!$F$3="","（　　　）　大会出場者（引率・監督・コーチ・選手）の宿泊申込については，指定業者を通して申し込みます。","（　○　）　大会出場者（引率・監督・コーチ・選手）の宿泊申込については，指定業者を通して申し込みます。")</f>
        <v>（　　　）　大会出場者（引率・監督・コーチ・選手）の宿泊申込については，指定業者を通して申し込みます。</v>
      </c>
      <c r="D36" s="527"/>
      <c r="E36" s="527"/>
      <c r="F36" s="527"/>
      <c r="G36" s="527"/>
      <c r="H36" s="527"/>
      <c r="I36" s="527"/>
      <c r="J36" s="527"/>
      <c r="K36" s="527"/>
      <c r="L36" s="527"/>
      <c r="M36" s="527"/>
      <c r="N36" s="527"/>
    </row>
    <row r="37" spans="3:14" ht="24" customHeight="1" x14ac:dyDescent="0.15">
      <c r="C37" s="527" t="str">
        <f>IF(入力ﾌｫｰﾑ!$F$3="","（　○　）　今回は宿泊を行わずに大会に参加します。","（　　　）　今回は宿泊を行わずに大会に参加します。")</f>
        <v>（　○　）　今回は宿泊を行わずに大会に参加します。</v>
      </c>
      <c r="D37" s="527"/>
      <c r="E37" s="527"/>
      <c r="F37" s="527"/>
      <c r="G37" s="527"/>
      <c r="H37" s="527"/>
      <c r="I37" s="527"/>
      <c r="J37" s="527"/>
      <c r="K37" s="527"/>
      <c r="L37" s="527"/>
      <c r="M37" s="527"/>
      <c r="N37" s="527"/>
    </row>
    <row r="38" spans="3:14" ht="24" customHeight="1" x14ac:dyDescent="0.15">
      <c r="C38" s="384" t="s">
        <v>2658</v>
      </c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</row>
    <row r="40" spans="3:14" x14ac:dyDescent="0.15">
      <c r="C40" s="176"/>
      <c r="D40" s="202"/>
      <c r="E40" s="202"/>
      <c r="F40" s="202"/>
      <c r="G40" s="202"/>
      <c r="H40" s="202"/>
      <c r="I40" s="202"/>
      <c r="J40" s="202"/>
      <c r="K40" s="202"/>
      <c r="L40" s="202"/>
      <c r="M40" s="202"/>
    </row>
    <row r="41" spans="3:14" x14ac:dyDescent="0.15">
      <c r="D41" s="195"/>
      <c r="E41" s="195"/>
      <c r="F41" s="195"/>
      <c r="G41" s="195"/>
      <c r="H41" s="195"/>
    </row>
    <row r="42" spans="3:14" x14ac:dyDescent="0.15">
      <c r="D42" s="195"/>
      <c r="E42" s="195"/>
      <c r="F42" s="195"/>
      <c r="G42" s="195"/>
      <c r="H42" s="195"/>
    </row>
    <row r="43" spans="3:14" x14ac:dyDescent="0.15">
      <c r="D43" s="195"/>
      <c r="E43" s="195"/>
      <c r="F43" s="195"/>
      <c r="G43" s="195"/>
      <c r="H43" s="195"/>
    </row>
    <row r="44" spans="3:14" x14ac:dyDescent="0.15">
      <c r="D44" s="195"/>
      <c r="E44" s="195"/>
      <c r="F44" s="195"/>
      <c r="G44" s="195"/>
      <c r="H44" s="195"/>
    </row>
    <row r="45" spans="3:14" x14ac:dyDescent="0.15">
      <c r="D45" s="195"/>
      <c r="E45" s="195"/>
      <c r="F45" s="195"/>
      <c r="G45" s="195"/>
      <c r="H45" s="195"/>
    </row>
    <row r="46" spans="3:14" x14ac:dyDescent="0.15">
      <c r="D46" s="195"/>
      <c r="E46" s="195"/>
      <c r="F46" s="195"/>
      <c r="G46" s="195"/>
      <c r="H46" s="195"/>
    </row>
    <row r="47" spans="3:14" x14ac:dyDescent="0.15">
      <c r="D47" s="195"/>
      <c r="E47" s="195"/>
      <c r="F47" s="195"/>
      <c r="G47" s="195"/>
      <c r="H47" s="195"/>
    </row>
    <row r="54" spans="7:7" x14ac:dyDescent="0.15">
      <c r="G54" s="196"/>
    </row>
    <row r="55" spans="7:7" x14ac:dyDescent="0.15">
      <c r="G55" s="196"/>
    </row>
    <row r="56" spans="7:7" x14ac:dyDescent="0.15">
      <c r="G56" s="196"/>
    </row>
    <row r="57" spans="7:7" x14ac:dyDescent="0.15">
      <c r="G57" s="196"/>
    </row>
    <row r="58" spans="7:7" x14ac:dyDescent="0.15">
      <c r="G58" s="196"/>
    </row>
    <row r="59" spans="7:7" x14ac:dyDescent="0.15">
      <c r="G59" s="196"/>
    </row>
    <row r="60" spans="7:7" x14ac:dyDescent="0.15">
      <c r="G60" s="196"/>
    </row>
    <row r="61" spans="7:7" x14ac:dyDescent="0.15">
      <c r="G61" s="196"/>
    </row>
    <row r="62" spans="7:7" x14ac:dyDescent="0.15">
      <c r="G62" s="196"/>
    </row>
    <row r="63" spans="7:7" x14ac:dyDescent="0.15">
      <c r="G63" s="196"/>
    </row>
    <row r="64" spans="7:7" x14ac:dyDescent="0.15">
      <c r="G64" s="196"/>
    </row>
  </sheetData>
  <sheetProtection sheet="1" objects="1" scenarios="1"/>
  <mergeCells count="121">
    <mergeCell ref="C1:N1"/>
    <mergeCell ref="C29:C30"/>
    <mergeCell ref="C31:C32"/>
    <mergeCell ref="D2:L2"/>
    <mergeCell ref="C19:C20"/>
    <mergeCell ref="C21:C22"/>
    <mergeCell ref="C23:C24"/>
    <mergeCell ref="C25:C26"/>
    <mergeCell ref="C27:C28"/>
    <mergeCell ref="F25:G25"/>
    <mergeCell ref="H25:I25"/>
    <mergeCell ref="F26:G26"/>
    <mergeCell ref="F28:G28"/>
    <mergeCell ref="H28:I28"/>
    <mergeCell ref="H26:I26"/>
    <mergeCell ref="K27:K28"/>
    <mergeCell ref="M25:N26"/>
    <mergeCell ref="J23:J24"/>
    <mergeCell ref="K23:K24"/>
    <mergeCell ref="L31:L32"/>
    <mergeCell ref="M31:N32"/>
    <mergeCell ref="L27:L28"/>
    <mergeCell ref="M27:N28"/>
    <mergeCell ref="D27:E28"/>
    <mergeCell ref="F27:G27"/>
    <mergeCell ref="H27:I27"/>
    <mergeCell ref="J27:J28"/>
    <mergeCell ref="D25:E26"/>
    <mergeCell ref="J25:J26"/>
    <mergeCell ref="K25:K26"/>
    <mergeCell ref="L21:L22"/>
    <mergeCell ref="M21:N22"/>
    <mergeCell ref="D21:E22"/>
    <mergeCell ref="F21:G21"/>
    <mergeCell ref="H21:I21"/>
    <mergeCell ref="F22:G22"/>
    <mergeCell ref="L25:L26"/>
    <mergeCell ref="L23:L24"/>
    <mergeCell ref="M23:N24"/>
    <mergeCell ref="D23:E24"/>
    <mergeCell ref="F23:G23"/>
    <mergeCell ref="H23:I23"/>
    <mergeCell ref="F24:G24"/>
    <mergeCell ref="H24:I24"/>
    <mergeCell ref="H22:I22"/>
    <mergeCell ref="J21:J22"/>
    <mergeCell ref="K21:K22"/>
    <mergeCell ref="D19:E20"/>
    <mergeCell ref="F19:G19"/>
    <mergeCell ref="H19:I19"/>
    <mergeCell ref="F20:G20"/>
    <mergeCell ref="H20:I20"/>
    <mergeCell ref="J19:J20"/>
    <mergeCell ref="K19:K20"/>
    <mergeCell ref="L19:L20"/>
    <mergeCell ref="M19:N20"/>
    <mergeCell ref="L16:L18"/>
    <mergeCell ref="M16:N18"/>
    <mergeCell ref="F17:I17"/>
    <mergeCell ref="F18:G18"/>
    <mergeCell ref="H18:I18"/>
    <mergeCell ref="D16:E18"/>
    <mergeCell ref="F16:I16"/>
    <mergeCell ref="J16:J18"/>
    <mergeCell ref="K13:K14"/>
    <mergeCell ref="K16:K18"/>
    <mergeCell ref="F13:J13"/>
    <mergeCell ref="F14:J14"/>
    <mergeCell ref="C13:D14"/>
    <mergeCell ref="C16:C18"/>
    <mergeCell ref="L13:N14"/>
    <mergeCell ref="F10:J10"/>
    <mergeCell ref="K10:K11"/>
    <mergeCell ref="L10:N11"/>
    <mergeCell ref="F12:H12"/>
    <mergeCell ref="J12:N12"/>
    <mergeCell ref="F11:J11"/>
    <mergeCell ref="C10:D12"/>
    <mergeCell ref="E4:F4"/>
    <mergeCell ref="H4:N4"/>
    <mergeCell ref="E5:N5"/>
    <mergeCell ref="H8:N8"/>
    <mergeCell ref="F9:H9"/>
    <mergeCell ref="J9:N9"/>
    <mergeCell ref="E7:K7"/>
    <mergeCell ref="E6:N6"/>
    <mergeCell ref="C4:D4"/>
    <mergeCell ref="C5:D5"/>
    <mergeCell ref="C6:D6"/>
    <mergeCell ref="C7:D7"/>
    <mergeCell ref="C8:D9"/>
    <mergeCell ref="D31:E32"/>
    <mergeCell ref="F31:G31"/>
    <mergeCell ref="H31:I31"/>
    <mergeCell ref="F32:G32"/>
    <mergeCell ref="H32:I32"/>
    <mergeCell ref="L29:L30"/>
    <mergeCell ref="M29:N30"/>
    <mergeCell ref="F30:G30"/>
    <mergeCell ref="H30:I30"/>
    <mergeCell ref="J31:J32"/>
    <mergeCell ref="K31:K32"/>
    <mergeCell ref="D29:E30"/>
    <mergeCell ref="F29:G29"/>
    <mergeCell ref="H29:I29"/>
    <mergeCell ref="J29:J30"/>
    <mergeCell ref="K29:K30"/>
    <mergeCell ref="C38:N38"/>
    <mergeCell ref="C37:N37"/>
    <mergeCell ref="C36:N36"/>
    <mergeCell ref="C33:C34"/>
    <mergeCell ref="D33:E34"/>
    <mergeCell ref="F33:G33"/>
    <mergeCell ref="H33:I33"/>
    <mergeCell ref="J33:J34"/>
    <mergeCell ref="K33:K34"/>
    <mergeCell ref="L33:L34"/>
    <mergeCell ref="M33:N34"/>
    <mergeCell ref="F34:G34"/>
    <mergeCell ref="H34:I34"/>
    <mergeCell ref="J35:N35"/>
  </mergeCells>
  <phoneticPr fontId="2"/>
  <dataValidations count="4">
    <dataValidation allowBlank="1" errorTitle="エラー！" error="「キャンセル」を押して、↓ボタンをクリックして一覧から選択して下さい_x000a_" promptTitle="「↓」を押して" prompt="リストから選んで下さい！" sqref="G4"/>
    <dataValidation imeMode="on" allowBlank="1" errorTitle="エラー！" error="「キャンセル」を押して、↓ボタンをクリックして一覧から選択して下さい_x000a_" promptTitle="「↓」を押して" prompt="リストから選んで下さい！" sqref="E5:E6"/>
    <dataValidation imeMode="off" allowBlank="1" showInputMessage="1" showErrorMessage="1" sqref="F12 J9 J12 F8:F9 L19:L34"/>
    <dataValidation imeMode="on" allowBlank="1" showInputMessage="1" showErrorMessage="1" sqref="F13:F14 E7 H8 F10:F11 L10"/>
  </dataValidations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83" orientation="portrait" errors="blank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読んでね！</vt:lpstr>
      <vt:lpstr>メインシート</vt:lpstr>
      <vt:lpstr>入力ﾌｫｰﾑ</vt:lpstr>
      <vt:lpstr>名簿ﾏｽﾀｰ</vt:lpstr>
      <vt:lpstr>参加料納付書（計算式）</vt:lpstr>
      <vt:lpstr>男子団体</vt:lpstr>
      <vt:lpstr>女子団体</vt:lpstr>
      <vt:lpstr>個人（男子） </vt:lpstr>
      <vt:lpstr>個人（女子）</vt:lpstr>
      <vt:lpstr>学校ﾏｽﾀｰ</vt:lpstr>
      <vt:lpstr>'個人（女子）'!Print_Area</vt:lpstr>
      <vt:lpstr>'個人（男子） '!Print_Area</vt:lpstr>
      <vt:lpstr>'参加料納付書（計算式）'!Print_Area</vt:lpstr>
      <vt:lpstr>女子団体!Print_Area</vt:lpstr>
      <vt:lpstr>男子団体!Print_Area</vt:lpstr>
      <vt:lpstr>'読んでね！'!Print_Area</vt:lpstr>
      <vt:lpstr>名簿ﾏｽﾀｰ!Print_Area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髙木;清美</dc:creator>
  <cp:lastModifiedBy>kaede</cp:lastModifiedBy>
  <cp:lastPrinted>2016-06-30T11:42:40Z</cp:lastPrinted>
  <dcterms:created xsi:type="dcterms:W3CDTF">2004-08-30T01:38:07Z</dcterms:created>
  <dcterms:modified xsi:type="dcterms:W3CDTF">2016-06-30T12:00:26Z</dcterms:modified>
</cp:coreProperties>
</file>